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 tiedostot\VM\KAO\Kuntatalous\Kunnan pp vos\Laskelmat\2025\Julkaisut\"/>
    </mc:Choice>
  </mc:AlternateContent>
  <bookViews>
    <workbookView xWindow="-105" yWindow="-105" windowWidth="28905" windowHeight="11955" tabRatio="904"/>
  </bookViews>
  <sheets>
    <sheet name="INFO" sheetId="16" r:id="rId1"/>
    <sheet name="Yhteenveto" sheetId="7" r:id="rId2"/>
    <sheet name="Lask. kustannukset IKÄRAKENNE" sheetId="8" r:id="rId3"/>
    <sheet name="Lask. kustannukset MUUT" sheetId="9" r:id="rId4"/>
    <sheet name="Lisäosat" sheetId="10" r:id="rId5"/>
    <sheet name="Muut lis_väh" sheetId="11" r:id="rId6"/>
    <sheet name="Verotuloihin perust tasaus" sheetId="12" r:id="rId7"/>
    <sheet name="Verokorvaukset" sheetId="14" r:id="rId8"/>
    <sheet name="TE25 Palveluiden rahoitus" sheetId="22" r:id="rId9"/>
    <sheet name="TE25 Pavleluiden kustannusarvio" sheetId="20" r:id="rId10"/>
    <sheet name="TE25 Etuuksien rahoitusvastuu" sheetId="19" r:id="rId11"/>
  </sheets>
  <definedNames>
    <definedName name="_xlnm.Print_Area" localSheetId="2">'Lask. kustannukset IKÄRAKENNE'!$A:$P</definedName>
    <definedName name="_xlnm.Print_Area" localSheetId="3">'Lask. kustannukset MUUT'!$A:$AF</definedName>
    <definedName name="_xlnm.Print_Area" localSheetId="4">Lisäosat!$A:$U</definedName>
    <definedName name="_xlnm.Print_Area" localSheetId="5">'Muut lis_väh'!$A:$O</definedName>
    <definedName name="_xlnm.Print_Area" localSheetId="1">Yhteenveto!$A:$S</definedName>
    <definedName name="_xlnm.Print_Titles" localSheetId="2">'Lask. kustannukset IKÄRAKENNE'!$4:$6</definedName>
    <definedName name="_xlnm.Print_Titles" localSheetId="3">'Lask. kustannukset MUUT'!$A:$B,'Lask. kustannukset MUUT'!$5:$11</definedName>
    <definedName name="_xlnm.Print_Titles" localSheetId="4">Lisäosat!$4:$7</definedName>
    <definedName name="_xlnm.Print_Titles" localSheetId="5">'Muut lis_väh'!$3:$4</definedName>
    <definedName name="_xlnm.Print_Titles" localSheetId="1">Yhteenveto!$5:$6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22" l="1"/>
  <c r="O6" i="11" l="1"/>
  <c r="O7" i="11"/>
  <c r="O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7"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234" i="11"/>
  <c r="O235" i="11"/>
  <c r="O236" i="11"/>
  <c r="O237" i="11"/>
  <c r="O238" i="11"/>
  <c r="O239" i="11"/>
  <c r="O240" i="11"/>
  <c r="O241" i="11"/>
  <c r="O242" i="11"/>
  <c r="O243" i="11"/>
  <c r="O244" i="11"/>
  <c r="O245" i="11"/>
  <c r="O246" i="11"/>
  <c r="O247" i="11"/>
  <c r="O248" i="11"/>
  <c r="O249" i="11"/>
  <c r="O250" i="11"/>
  <c r="O251" i="11"/>
  <c r="O252" i="11"/>
  <c r="O253" i="11"/>
  <c r="O254" i="11"/>
  <c r="O255" i="11"/>
  <c r="O256" i="11"/>
  <c r="O257" i="11"/>
  <c r="O258" i="11"/>
  <c r="O259" i="11"/>
  <c r="O260" i="11"/>
  <c r="O261" i="11"/>
  <c r="O262" i="11"/>
  <c r="O263" i="11"/>
  <c r="O264" i="11"/>
  <c r="O265" i="11"/>
  <c r="O266" i="11"/>
  <c r="O267" i="11"/>
  <c r="O268" i="11"/>
  <c r="O269" i="11"/>
  <c r="O270" i="11"/>
  <c r="O271" i="11"/>
  <c r="O272" i="11"/>
  <c r="O273" i="11"/>
  <c r="O274" i="11"/>
  <c r="O275" i="11"/>
  <c r="O276" i="11"/>
  <c r="O277" i="11"/>
  <c r="O278" i="11"/>
  <c r="O279" i="11"/>
  <c r="O280" i="11"/>
  <c r="O281" i="11"/>
  <c r="O282" i="11"/>
  <c r="O283" i="11"/>
  <c r="O284" i="11"/>
  <c r="O285" i="11"/>
  <c r="O286" i="11"/>
  <c r="O287" i="11"/>
  <c r="O288" i="11"/>
  <c r="O289" i="11"/>
  <c r="O290" i="11"/>
  <c r="O291" i="11"/>
  <c r="O292" i="11"/>
  <c r="O293" i="11"/>
  <c r="O294" i="11"/>
  <c r="O295" i="11"/>
  <c r="O296" i="11"/>
  <c r="O297" i="11"/>
  <c r="O5" i="11"/>
  <c r="I304" i="22" l="1"/>
  <c r="H304" i="22"/>
  <c r="G304" i="22"/>
  <c r="I303" i="22"/>
  <c r="H303" i="22"/>
  <c r="G303" i="22"/>
  <c r="I302" i="22"/>
  <c r="H302" i="22"/>
  <c r="G302" i="22"/>
  <c r="I301" i="22"/>
  <c r="H301" i="22"/>
  <c r="G301" i="22"/>
  <c r="I300" i="22"/>
  <c r="H300" i="22"/>
  <c r="G300" i="22"/>
  <c r="I299" i="22"/>
  <c r="H299" i="22"/>
  <c r="G299" i="22"/>
  <c r="I298" i="22"/>
  <c r="H298" i="22"/>
  <c r="G298" i="22"/>
  <c r="I297" i="22"/>
  <c r="H297" i="22"/>
  <c r="G297" i="22"/>
  <c r="I296" i="22"/>
  <c r="H296" i="22"/>
  <c r="G296" i="22"/>
  <c r="I295" i="22"/>
  <c r="H295" i="22"/>
  <c r="G295" i="22"/>
  <c r="I294" i="22"/>
  <c r="H294" i="22"/>
  <c r="G294" i="22"/>
  <c r="I293" i="22"/>
  <c r="H293" i="22"/>
  <c r="G293" i="22"/>
  <c r="I292" i="22"/>
  <c r="H292" i="22"/>
  <c r="G292" i="22"/>
  <c r="I291" i="22"/>
  <c r="H291" i="22"/>
  <c r="G291" i="22"/>
  <c r="I290" i="22"/>
  <c r="H290" i="22"/>
  <c r="G290" i="22"/>
  <c r="I289" i="22"/>
  <c r="H289" i="22"/>
  <c r="G289" i="22"/>
  <c r="I288" i="22"/>
  <c r="H288" i="22"/>
  <c r="G288" i="22"/>
  <c r="I287" i="22"/>
  <c r="H287" i="22"/>
  <c r="G287" i="22"/>
  <c r="I286" i="22"/>
  <c r="H286" i="22"/>
  <c r="G286" i="22"/>
  <c r="I285" i="22"/>
  <c r="H285" i="22"/>
  <c r="G285" i="22"/>
  <c r="I284" i="22"/>
  <c r="H284" i="22"/>
  <c r="G284" i="22"/>
  <c r="I283" i="22"/>
  <c r="H283" i="22"/>
  <c r="G283" i="22"/>
  <c r="I282" i="22"/>
  <c r="H282" i="22"/>
  <c r="G282" i="22"/>
  <c r="I281" i="22"/>
  <c r="H281" i="22"/>
  <c r="G281" i="22"/>
  <c r="I280" i="22"/>
  <c r="H280" i="22"/>
  <c r="G280" i="22"/>
  <c r="I279" i="22"/>
  <c r="H279" i="22"/>
  <c r="G279" i="22"/>
  <c r="I278" i="22"/>
  <c r="H278" i="22"/>
  <c r="G278" i="22"/>
  <c r="I277" i="22"/>
  <c r="H277" i="22"/>
  <c r="G277" i="22"/>
  <c r="I276" i="22"/>
  <c r="H276" i="22"/>
  <c r="G276" i="22"/>
  <c r="I275" i="22"/>
  <c r="H275" i="22"/>
  <c r="G275" i="22"/>
  <c r="I274" i="22"/>
  <c r="H274" i="22"/>
  <c r="G274" i="22"/>
  <c r="I273" i="22"/>
  <c r="H273" i="22"/>
  <c r="G273" i="22"/>
  <c r="I272" i="22"/>
  <c r="H272" i="22"/>
  <c r="G272" i="22"/>
  <c r="I271" i="22"/>
  <c r="H271" i="22"/>
  <c r="G271" i="22"/>
  <c r="I270" i="22"/>
  <c r="H270" i="22"/>
  <c r="G270" i="22"/>
  <c r="I269" i="22"/>
  <c r="H269" i="22"/>
  <c r="G269" i="22"/>
  <c r="I268" i="22"/>
  <c r="H268" i="22"/>
  <c r="G268" i="22"/>
  <c r="I267" i="22"/>
  <c r="H267" i="22"/>
  <c r="G267" i="22"/>
  <c r="I266" i="22"/>
  <c r="H266" i="22"/>
  <c r="G266" i="22"/>
  <c r="I265" i="22"/>
  <c r="H265" i="22"/>
  <c r="G265" i="22"/>
  <c r="I264" i="22"/>
  <c r="H264" i="22"/>
  <c r="G264" i="22"/>
  <c r="I263" i="22"/>
  <c r="H263" i="22"/>
  <c r="G263" i="22"/>
  <c r="I262" i="22"/>
  <c r="H262" i="22"/>
  <c r="G262" i="22"/>
  <c r="I261" i="22"/>
  <c r="H261" i="22"/>
  <c r="G261" i="22"/>
  <c r="I260" i="22"/>
  <c r="H260" i="22"/>
  <c r="G260" i="22"/>
  <c r="I259" i="22"/>
  <c r="H259" i="22"/>
  <c r="G259" i="22"/>
  <c r="I258" i="22"/>
  <c r="H258" i="22"/>
  <c r="G258" i="22"/>
  <c r="I257" i="22"/>
  <c r="H257" i="22"/>
  <c r="G257" i="22"/>
  <c r="I256" i="22"/>
  <c r="H256" i="22"/>
  <c r="G256" i="22"/>
  <c r="I255" i="22"/>
  <c r="H255" i="22"/>
  <c r="G255" i="22"/>
  <c r="I254" i="22"/>
  <c r="H254" i="22"/>
  <c r="G254" i="22"/>
  <c r="I253" i="22"/>
  <c r="H253" i="22"/>
  <c r="G253" i="22"/>
  <c r="I252" i="22"/>
  <c r="H252" i="22"/>
  <c r="G252" i="22"/>
  <c r="I251" i="22"/>
  <c r="H251" i="22"/>
  <c r="G251" i="22"/>
  <c r="I250" i="22"/>
  <c r="H250" i="22"/>
  <c r="G250" i="22"/>
  <c r="I249" i="22"/>
  <c r="H249" i="22"/>
  <c r="G249" i="22"/>
  <c r="I248" i="22"/>
  <c r="H248" i="22"/>
  <c r="G248" i="22"/>
  <c r="I247" i="22"/>
  <c r="H247" i="22"/>
  <c r="G247" i="22"/>
  <c r="I246" i="22"/>
  <c r="H246" i="22"/>
  <c r="G246" i="22"/>
  <c r="I245" i="22"/>
  <c r="H245" i="22"/>
  <c r="G245" i="22"/>
  <c r="I244" i="22"/>
  <c r="H244" i="22"/>
  <c r="G244" i="22"/>
  <c r="I243" i="22"/>
  <c r="H243" i="22"/>
  <c r="G243" i="22"/>
  <c r="I242" i="22"/>
  <c r="H242" i="22"/>
  <c r="G242" i="22"/>
  <c r="I241" i="22"/>
  <c r="H241" i="22"/>
  <c r="G241" i="22"/>
  <c r="I240" i="22"/>
  <c r="H240" i="22"/>
  <c r="G240" i="22"/>
  <c r="I239" i="22"/>
  <c r="H239" i="22"/>
  <c r="G239" i="22"/>
  <c r="I238" i="22"/>
  <c r="H238" i="22"/>
  <c r="G238" i="22"/>
  <c r="I237" i="22"/>
  <c r="H237" i="22"/>
  <c r="G237" i="22"/>
  <c r="I236" i="22"/>
  <c r="H236" i="22"/>
  <c r="G236" i="22"/>
  <c r="I235" i="22"/>
  <c r="H235" i="22"/>
  <c r="G235" i="22"/>
  <c r="I234" i="22"/>
  <c r="H234" i="22"/>
  <c r="G234" i="22"/>
  <c r="I233" i="22"/>
  <c r="H233" i="22"/>
  <c r="G233" i="22"/>
  <c r="I232" i="22"/>
  <c r="H232" i="22"/>
  <c r="G232" i="22"/>
  <c r="I231" i="22"/>
  <c r="H231" i="22"/>
  <c r="G231" i="22"/>
  <c r="I230" i="22"/>
  <c r="H230" i="22"/>
  <c r="G230" i="22"/>
  <c r="I229" i="22"/>
  <c r="H229" i="22"/>
  <c r="G229" i="22"/>
  <c r="I228" i="22"/>
  <c r="H228" i="22"/>
  <c r="G228" i="22"/>
  <c r="I227" i="22"/>
  <c r="H227" i="22"/>
  <c r="G227" i="22"/>
  <c r="I226" i="22"/>
  <c r="H226" i="22"/>
  <c r="G226" i="22"/>
  <c r="I225" i="22"/>
  <c r="H225" i="22"/>
  <c r="G225" i="22"/>
  <c r="I224" i="22"/>
  <c r="H224" i="22"/>
  <c r="G224" i="22"/>
  <c r="I223" i="22"/>
  <c r="H223" i="22"/>
  <c r="G223" i="22"/>
  <c r="I222" i="22"/>
  <c r="H222" i="22"/>
  <c r="G222" i="22"/>
  <c r="I221" i="22"/>
  <c r="H221" i="22"/>
  <c r="G221" i="22"/>
  <c r="I220" i="22"/>
  <c r="H220" i="22"/>
  <c r="G220" i="22"/>
  <c r="I219" i="22"/>
  <c r="H219" i="22"/>
  <c r="G219" i="22"/>
  <c r="I218" i="22"/>
  <c r="H218" i="22"/>
  <c r="G218" i="22"/>
  <c r="I217" i="22"/>
  <c r="H217" i="22"/>
  <c r="G217" i="22"/>
  <c r="I216" i="22"/>
  <c r="H216" i="22"/>
  <c r="G216" i="22"/>
  <c r="I215" i="22"/>
  <c r="H215" i="22"/>
  <c r="G215" i="22"/>
  <c r="I214" i="22"/>
  <c r="H214" i="22"/>
  <c r="G214" i="22"/>
  <c r="I213" i="22"/>
  <c r="H213" i="22"/>
  <c r="G213" i="22"/>
  <c r="I212" i="22"/>
  <c r="H212" i="22"/>
  <c r="G212" i="22"/>
  <c r="I211" i="22"/>
  <c r="H211" i="22"/>
  <c r="G211" i="22"/>
  <c r="I210" i="22"/>
  <c r="H210" i="22"/>
  <c r="G210" i="22"/>
  <c r="I209" i="22"/>
  <c r="H209" i="22"/>
  <c r="G209" i="22"/>
  <c r="I208" i="22"/>
  <c r="H208" i="22"/>
  <c r="G208" i="22"/>
  <c r="I207" i="22"/>
  <c r="H207" i="22"/>
  <c r="G207" i="22"/>
  <c r="I206" i="22"/>
  <c r="H206" i="22"/>
  <c r="G206" i="22"/>
  <c r="I205" i="22"/>
  <c r="H205" i="22"/>
  <c r="G205" i="22"/>
  <c r="I204" i="22"/>
  <c r="H204" i="22"/>
  <c r="G204" i="22"/>
  <c r="I203" i="22"/>
  <c r="H203" i="22"/>
  <c r="G203" i="22"/>
  <c r="I202" i="22"/>
  <c r="H202" i="22"/>
  <c r="G202" i="22"/>
  <c r="I201" i="22"/>
  <c r="H201" i="22"/>
  <c r="G201" i="22"/>
  <c r="I200" i="22"/>
  <c r="H200" i="22"/>
  <c r="G200" i="22"/>
  <c r="I199" i="22"/>
  <c r="H199" i="22"/>
  <c r="G199" i="22"/>
  <c r="I198" i="22"/>
  <c r="H198" i="22"/>
  <c r="G198" i="22"/>
  <c r="I197" i="22"/>
  <c r="H197" i="22"/>
  <c r="G197" i="22"/>
  <c r="I196" i="22"/>
  <c r="H196" i="22"/>
  <c r="G196" i="22"/>
  <c r="I195" i="22"/>
  <c r="H195" i="22"/>
  <c r="G195" i="22"/>
  <c r="I194" i="22"/>
  <c r="H194" i="22"/>
  <c r="G194" i="22"/>
  <c r="I193" i="22"/>
  <c r="H193" i="22"/>
  <c r="G193" i="22"/>
  <c r="I192" i="22"/>
  <c r="H192" i="22"/>
  <c r="G192" i="22"/>
  <c r="I191" i="22"/>
  <c r="H191" i="22"/>
  <c r="G191" i="22"/>
  <c r="I190" i="22"/>
  <c r="H190" i="22"/>
  <c r="G190" i="22"/>
  <c r="I189" i="22"/>
  <c r="H189" i="22"/>
  <c r="G189" i="22"/>
  <c r="I188" i="22"/>
  <c r="H188" i="22"/>
  <c r="G188" i="22"/>
  <c r="I187" i="22"/>
  <c r="H187" i="22"/>
  <c r="G187" i="22"/>
  <c r="I186" i="22"/>
  <c r="H186" i="22"/>
  <c r="G186" i="22"/>
  <c r="I185" i="22"/>
  <c r="H185" i="22"/>
  <c r="G185" i="22"/>
  <c r="I184" i="22"/>
  <c r="H184" i="22"/>
  <c r="G184" i="22"/>
  <c r="I183" i="22"/>
  <c r="H183" i="22"/>
  <c r="G183" i="22"/>
  <c r="I182" i="22"/>
  <c r="H182" i="22"/>
  <c r="G182" i="22"/>
  <c r="I181" i="22"/>
  <c r="H181" i="22"/>
  <c r="G181" i="22"/>
  <c r="I180" i="22"/>
  <c r="H180" i="22"/>
  <c r="G180" i="22"/>
  <c r="I179" i="22"/>
  <c r="H179" i="22"/>
  <c r="G179" i="22"/>
  <c r="I178" i="22"/>
  <c r="H178" i="22"/>
  <c r="G178" i="22"/>
  <c r="I177" i="22"/>
  <c r="H177" i="22"/>
  <c r="G177" i="22"/>
  <c r="I176" i="22"/>
  <c r="H176" i="22"/>
  <c r="G176" i="22"/>
  <c r="I175" i="22"/>
  <c r="H175" i="22"/>
  <c r="G175" i="22"/>
  <c r="I174" i="22"/>
  <c r="H174" i="22"/>
  <c r="G174" i="22"/>
  <c r="I173" i="22"/>
  <c r="H173" i="22"/>
  <c r="G173" i="22"/>
  <c r="I172" i="22"/>
  <c r="H172" i="22"/>
  <c r="G172" i="22"/>
  <c r="I171" i="22"/>
  <c r="H171" i="22"/>
  <c r="G171" i="22"/>
  <c r="I170" i="22"/>
  <c r="H170" i="22"/>
  <c r="G170" i="22"/>
  <c r="I169" i="22"/>
  <c r="H169" i="22"/>
  <c r="G169" i="22"/>
  <c r="I168" i="22"/>
  <c r="H168" i="22"/>
  <c r="G168" i="22"/>
  <c r="I167" i="22"/>
  <c r="H167" i="22"/>
  <c r="G167" i="22"/>
  <c r="I166" i="22"/>
  <c r="H166" i="22"/>
  <c r="G166" i="22"/>
  <c r="I165" i="22"/>
  <c r="H165" i="22"/>
  <c r="G165" i="22"/>
  <c r="I164" i="22"/>
  <c r="H164" i="22"/>
  <c r="G164" i="22"/>
  <c r="I163" i="22"/>
  <c r="H163" i="22"/>
  <c r="G163" i="22"/>
  <c r="I162" i="22"/>
  <c r="H162" i="22"/>
  <c r="G162" i="22"/>
  <c r="I161" i="22"/>
  <c r="H161" i="22"/>
  <c r="G161" i="22"/>
  <c r="I160" i="22"/>
  <c r="H160" i="22"/>
  <c r="G160" i="22"/>
  <c r="I159" i="22"/>
  <c r="H159" i="22"/>
  <c r="G159" i="22"/>
  <c r="I158" i="22"/>
  <c r="H158" i="22"/>
  <c r="G158" i="22"/>
  <c r="I157" i="22"/>
  <c r="H157" i="22"/>
  <c r="G157" i="22"/>
  <c r="I156" i="22"/>
  <c r="H156" i="22"/>
  <c r="G156" i="22"/>
  <c r="I155" i="22"/>
  <c r="H155" i="22"/>
  <c r="G155" i="22"/>
  <c r="I154" i="22"/>
  <c r="H154" i="22"/>
  <c r="G154" i="22"/>
  <c r="I153" i="22"/>
  <c r="H153" i="22"/>
  <c r="G153" i="22"/>
  <c r="I152" i="22"/>
  <c r="H152" i="22"/>
  <c r="G152" i="22"/>
  <c r="I151" i="22"/>
  <c r="H151" i="22"/>
  <c r="G151" i="22"/>
  <c r="I150" i="22"/>
  <c r="H150" i="22"/>
  <c r="G150" i="22"/>
  <c r="I149" i="22"/>
  <c r="H149" i="22"/>
  <c r="G149" i="22"/>
  <c r="I148" i="22"/>
  <c r="H148" i="22"/>
  <c r="G148" i="22"/>
  <c r="I147" i="22"/>
  <c r="H147" i="22"/>
  <c r="G147" i="22"/>
  <c r="I146" i="22"/>
  <c r="H146" i="22"/>
  <c r="G146" i="22"/>
  <c r="I145" i="22"/>
  <c r="H145" i="22"/>
  <c r="G145" i="22"/>
  <c r="I144" i="22"/>
  <c r="H144" i="22"/>
  <c r="G144" i="22"/>
  <c r="I143" i="22"/>
  <c r="H143" i="22"/>
  <c r="G143" i="22"/>
  <c r="I142" i="22"/>
  <c r="H142" i="22"/>
  <c r="G142" i="22"/>
  <c r="I141" i="22"/>
  <c r="H141" i="22"/>
  <c r="G141" i="22"/>
  <c r="I140" i="22"/>
  <c r="H140" i="22"/>
  <c r="G140" i="22"/>
  <c r="I139" i="22"/>
  <c r="H139" i="22"/>
  <c r="G139" i="22"/>
  <c r="I138" i="22"/>
  <c r="H138" i="22"/>
  <c r="G138" i="22"/>
  <c r="I137" i="22"/>
  <c r="H137" i="22"/>
  <c r="G137" i="22"/>
  <c r="I136" i="22"/>
  <c r="H136" i="22"/>
  <c r="G136" i="22"/>
  <c r="I135" i="22"/>
  <c r="H135" i="22"/>
  <c r="G135" i="22"/>
  <c r="I134" i="22"/>
  <c r="H134" i="22"/>
  <c r="G134" i="22"/>
  <c r="I133" i="22"/>
  <c r="H133" i="22"/>
  <c r="G133" i="22"/>
  <c r="I132" i="22"/>
  <c r="H132" i="22"/>
  <c r="G132" i="22"/>
  <c r="I131" i="22"/>
  <c r="H131" i="22"/>
  <c r="G131" i="22"/>
  <c r="I130" i="22"/>
  <c r="H130" i="22"/>
  <c r="G130" i="22"/>
  <c r="I129" i="22"/>
  <c r="H129" i="22"/>
  <c r="G129" i="22"/>
  <c r="I128" i="22"/>
  <c r="H128" i="22"/>
  <c r="G128" i="22"/>
  <c r="I127" i="22"/>
  <c r="H127" i="22"/>
  <c r="G127" i="22"/>
  <c r="I126" i="22"/>
  <c r="H126" i="22"/>
  <c r="G126" i="22"/>
  <c r="I125" i="22"/>
  <c r="H125" i="22"/>
  <c r="G125" i="22"/>
  <c r="I124" i="22"/>
  <c r="H124" i="22"/>
  <c r="G124" i="22"/>
  <c r="I123" i="22"/>
  <c r="H123" i="22"/>
  <c r="G123" i="22"/>
  <c r="I122" i="22"/>
  <c r="H122" i="22"/>
  <c r="G122" i="22"/>
  <c r="I121" i="22"/>
  <c r="H121" i="22"/>
  <c r="G121" i="22"/>
  <c r="I120" i="22"/>
  <c r="H120" i="22"/>
  <c r="G120" i="22"/>
  <c r="I119" i="22"/>
  <c r="H119" i="22"/>
  <c r="G119" i="22"/>
  <c r="I118" i="22"/>
  <c r="H118" i="22"/>
  <c r="G118" i="22"/>
  <c r="I117" i="22"/>
  <c r="H117" i="22"/>
  <c r="G117" i="22"/>
  <c r="I116" i="22"/>
  <c r="H116" i="22"/>
  <c r="G116" i="22"/>
  <c r="I115" i="22"/>
  <c r="H115" i="22"/>
  <c r="G115" i="22"/>
  <c r="I114" i="22"/>
  <c r="H114" i="22"/>
  <c r="G114" i="22"/>
  <c r="I113" i="22"/>
  <c r="H113" i="22"/>
  <c r="G113" i="22"/>
  <c r="I112" i="22"/>
  <c r="H112" i="22"/>
  <c r="G112" i="22"/>
  <c r="I111" i="22"/>
  <c r="H111" i="22"/>
  <c r="G111" i="22"/>
  <c r="I110" i="22"/>
  <c r="H110" i="22"/>
  <c r="G110" i="22"/>
  <c r="I109" i="22"/>
  <c r="H109" i="22"/>
  <c r="G109" i="22"/>
  <c r="I108" i="22"/>
  <c r="H108" i="22"/>
  <c r="G108" i="22"/>
  <c r="I107" i="22"/>
  <c r="H107" i="22"/>
  <c r="G107" i="22"/>
  <c r="I106" i="22"/>
  <c r="H106" i="22"/>
  <c r="G106" i="22"/>
  <c r="I105" i="22"/>
  <c r="H105" i="22"/>
  <c r="G105" i="22"/>
  <c r="I104" i="22"/>
  <c r="H104" i="22"/>
  <c r="G104" i="22"/>
  <c r="I103" i="22"/>
  <c r="H103" i="22"/>
  <c r="G103" i="22"/>
  <c r="I102" i="22"/>
  <c r="H102" i="22"/>
  <c r="G102" i="22"/>
  <c r="I101" i="22"/>
  <c r="H101" i="22"/>
  <c r="G101" i="22"/>
  <c r="I100" i="22"/>
  <c r="H100" i="22"/>
  <c r="G100" i="22"/>
  <c r="I99" i="22"/>
  <c r="H99" i="22"/>
  <c r="G99" i="22"/>
  <c r="I98" i="22"/>
  <c r="H98" i="22"/>
  <c r="G98" i="22"/>
  <c r="I97" i="22"/>
  <c r="H97" i="22"/>
  <c r="G97" i="22"/>
  <c r="I96" i="22"/>
  <c r="H96" i="22"/>
  <c r="G96" i="22"/>
  <c r="I95" i="22"/>
  <c r="H95" i="22"/>
  <c r="G95" i="22"/>
  <c r="I94" i="22"/>
  <c r="H94" i="22"/>
  <c r="G94" i="22"/>
  <c r="I93" i="22"/>
  <c r="H93" i="22"/>
  <c r="G93" i="22"/>
  <c r="I92" i="22"/>
  <c r="H92" i="22"/>
  <c r="G92" i="22"/>
  <c r="I91" i="22"/>
  <c r="H91" i="22"/>
  <c r="G91" i="22"/>
  <c r="I90" i="22"/>
  <c r="H90" i="22"/>
  <c r="G90" i="22"/>
  <c r="I89" i="22"/>
  <c r="H89" i="22"/>
  <c r="G89" i="22"/>
  <c r="I88" i="22"/>
  <c r="H88" i="22"/>
  <c r="G88" i="22"/>
  <c r="I87" i="22"/>
  <c r="H87" i="22"/>
  <c r="G87" i="22"/>
  <c r="I86" i="22"/>
  <c r="H86" i="22"/>
  <c r="G86" i="22"/>
  <c r="I85" i="22"/>
  <c r="H85" i="22"/>
  <c r="G85" i="22"/>
  <c r="I84" i="22"/>
  <c r="H84" i="22"/>
  <c r="G84" i="22"/>
  <c r="I83" i="22"/>
  <c r="H83" i="22"/>
  <c r="G83" i="22"/>
  <c r="I82" i="22"/>
  <c r="H82" i="22"/>
  <c r="G82" i="22"/>
  <c r="I81" i="22"/>
  <c r="H81" i="22"/>
  <c r="G81" i="22"/>
  <c r="I80" i="22"/>
  <c r="H80" i="22"/>
  <c r="G80" i="22"/>
  <c r="I79" i="22"/>
  <c r="H79" i="22"/>
  <c r="G79" i="22"/>
  <c r="I78" i="22"/>
  <c r="H78" i="22"/>
  <c r="G78" i="22"/>
  <c r="I77" i="22"/>
  <c r="H77" i="22"/>
  <c r="G77" i="22"/>
  <c r="I76" i="22"/>
  <c r="H76" i="22"/>
  <c r="G76" i="22"/>
  <c r="I75" i="22"/>
  <c r="H75" i="22"/>
  <c r="G75" i="22"/>
  <c r="I74" i="22"/>
  <c r="H74" i="22"/>
  <c r="G74" i="22"/>
  <c r="I73" i="22"/>
  <c r="H73" i="22"/>
  <c r="G73" i="22"/>
  <c r="I72" i="22"/>
  <c r="H72" i="22"/>
  <c r="G72" i="22"/>
  <c r="I71" i="22"/>
  <c r="H71" i="22"/>
  <c r="G71" i="22"/>
  <c r="I70" i="22"/>
  <c r="H70" i="22"/>
  <c r="G70" i="22"/>
  <c r="I69" i="22"/>
  <c r="H69" i="22"/>
  <c r="G69" i="22"/>
  <c r="I68" i="22"/>
  <c r="H68" i="22"/>
  <c r="G68" i="22"/>
  <c r="I67" i="22"/>
  <c r="H67" i="22"/>
  <c r="G67" i="22"/>
  <c r="I66" i="22"/>
  <c r="H66" i="22"/>
  <c r="G66" i="22"/>
  <c r="I65" i="22"/>
  <c r="H65" i="22"/>
  <c r="G65" i="22"/>
  <c r="I64" i="22"/>
  <c r="H64" i="22"/>
  <c r="G64" i="22"/>
  <c r="I63" i="22"/>
  <c r="H63" i="22"/>
  <c r="G63" i="22"/>
  <c r="I62" i="22"/>
  <c r="H62" i="22"/>
  <c r="G62" i="22"/>
  <c r="I61" i="22"/>
  <c r="H61" i="22"/>
  <c r="G61" i="22"/>
  <c r="I60" i="22"/>
  <c r="H60" i="22"/>
  <c r="G60" i="22"/>
  <c r="I59" i="22"/>
  <c r="H59" i="22"/>
  <c r="G59" i="22"/>
  <c r="I58" i="22"/>
  <c r="H58" i="22"/>
  <c r="G58" i="22"/>
  <c r="I57" i="22"/>
  <c r="H57" i="22"/>
  <c r="G57" i="22"/>
  <c r="I56" i="22"/>
  <c r="H56" i="22"/>
  <c r="G56" i="22"/>
  <c r="I55" i="22"/>
  <c r="H55" i="22"/>
  <c r="G55" i="22"/>
  <c r="I54" i="22"/>
  <c r="H54" i="22"/>
  <c r="G54" i="22"/>
  <c r="I53" i="22"/>
  <c r="H53" i="22"/>
  <c r="G53" i="22"/>
  <c r="I52" i="22"/>
  <c r="H52" i="22"/>
  <c r="G52" i="22"/>
  <c r="I51" i="22"/>
  <c r="H51" i="22"/>
  <c r="G51" i="22"/>
  <c r="I50" i="22"/>
  <c r="H50" i="22"/>
  <c r="G50" i="22"/>
  <c r="I49" i="22"/>
  <c r="H49" i="22"/>
  <c r="G49" i="22"/>
  <c r="I48" i="22"/>
  <c r="H48" i="22"/>
  <c r="G48" i="22"/>
  <c r="I47" i="22"/>
  <c r="H47" i="22"/>
  <c r="G47" i="22"/>
  <c r="I46" i="22"/>
  <c r="H46" i="22"/>
  <c r="G46" i="22"/>
  <c r="I45" i="22"/>
  <c r="H45" i="22"/>
  <c r="G45" i="22"/>
  <c r="I44" i="22"/>
  <c r="H44" i="22"/>
  <c r="G44" i="22"/>
  <c r="I43" i="22"/>
  <c r="H43" i="22"/>
  <c r="G43" i="22"/>
  <c r="I42" i="22"/>
  <c r="H42" i="22"/>
  <c r="G42" i="22"/>
  <c r="I41" i="22"/>
  <c r="H41" i="22"/>
  <c r="G41" i="22"/>
  <c r="I40" i="22"/>
  <c r="H40" i="22"/>
  <c r="G40" i="22"/>
  <c r="I39" i="22"/>
  <c r="H39" i="22"/>
  <c r="G39" i="22"/>
  <c r="I38" i="22"/>
  <c r="H38" i="22"/>
  <c r="G38" i="22"/>
  <c r="I37" i="22"/>
  <c r="H37" i="22"/>
  <c r="G37" i="22"/>
  <c r="I36" i="22"/>
  <c r="H36" i="22"/>
  <c r="G36" i="22"/>
  <c r="I35" i="22"/>
  <c r="H35" i="22"/>
  <c r="G35" i="22"/>
  <c r="I34" i="22"/>
  <c r="H34" i="22"/>
  <c r="G34" i="22"/>
  <c r="I33" i="22"/>
  <c r="H33" i="22"/>
  <c r="G33" i="22"/>
  <c r="I32" i="22"/>
  <c r="H32" i="22"/>
  <c r="G32" i="22"/>
  <c r="I31" i="22"/>
  <c r="H31" i="22"/>
  <c r="G31" i="22"/>
  <c r="I30" i="22"/>
  <c r="H30" i="22"/>
  <c r="G30" i="22"/>
  <c r="I29" i="22"/>
  <c r="H29" i="22"/>
  <c r="G29" i="22"/>
  <c r="I28" i="22"/>
  <c r="H28" i="22"/>
  <c r="G28" i="22"/>
  <c r="I27" i="22"/>
  <c r="H27" i="22"/>
  <c r="G27" i="22"/>
  <c r="I26" i="22"/>
  <c r="H26" i="22"/>
  <c r="G26" i="22"/>
  <c r="I25" i="22"/>
  <c r="H25" i="22"/>
  <c r="G25" i="22"/>
  <c r="I24" i="22"/>
  <c r="H24" i="22"/>
  <c r="G24" i="22"/>
  <c r="I23" i="22"/>
  <c r="H23" i="22"/>
  <c r="G23" i="22"/>
  <c r="I22" i="22"/>
  <c r="H22" i="22"/>
  <c r="G22" i="22"/>
  <c r="I21" i="22"/>
  <c r="H21" i="22"/>
  <c r="G21" i="22"/>
  <c r="I20" i="22"/>
  <c r="H20" i="22"/>
  <c r="G20" i="22"/>
  <c r="I19" i="22"/>
  <c r="H19" i="22"/>
  <c r="G19" i="22"/>
  <c r="I18" i="22"/>
  <c r="H18" i="22"/>
  <c r="G18" i="22"/>
  <c r="I17" i="22"/>
  <c r="H17" i="22"/>
  <c r="G17" i="22"/>
  <c r="I16" i="22"/>
  <c r="H16" i="22"/>
  <c r="G16" i="22"/>
  <c r="I15" i="22"/>
  <c r="H15" i="22"/>
  <c r="G15" i="22"/>
  <c r="I14" i="22"/>
  <c r="H14" i="22"/>
  <c r="G14" i="22"/>
  <c r="I13" i="22"/>
  <c r="H13" i="22"/>
  <c r="G13" i="22"/>
  <c r="I12" i="22"/>
  <c r="H12" i="22"/>
  <c r="G12" i="22"/>
  <c r="E11" i="22"/>
  <c r="D11" i="22"/>
  <c r="C11" i="22"/>
  <c r="R299" i="20"/>
  <c r="O299" i="20"/>
  <c r="S299" i="20" s="1"/>
  <c r="R298" i="20"/>
  <c r="O298" i="20"/>
  <c r="P298" i="20" s="1"/>
  <c r="R297" i="20"/>
  <c r="O297" i="20"/>
  <c r="R296" i="20"/>
  <c r="O296" i="20"/>
  <c r="S296" i="20" s="1"/>
  <c r="R295" i="20"/>
  <c r="O295" i="20"/>
  <c r="S295" i="20" s="1"/>
  <c r="R294" i="20"/>
  <c r="O294" i="20"/>
  <c r="S294" i="20" s="1"/>
  <c r="R293" i="20"/>
  <c r="O293" i="20"/>
  <c r="P293" i="20" s="1"/>
  <c r="R292" i="20"/>
  <c r="O292" i="20"/>
  <c r="S292" i="20" s="1"/>
  <c r="R291" i="20"/>
  <c r="O291" i="20"/>
  <c r="S291" i="20" s="1"/>
  <c r="R290" i="20"/>
  <c r="O290" i="20"/>
  <c r="P290" i="20" s="1"/>
  <c r="R289" i="20"/>
  <c r="O289" i="20"/>
  <c r="R288" i="20"/>
  <c r="O288" i="20"/>
  <c r="S288" i="20" s="1"/>
  <c r="R287" i="20"/>
  <c r="O287" i="20"/>
  <c r="S287" i="20" s="1"/>
  <c r="R286" i="20"/>
  <c r="O286" i="20"/>
  <c r="S286" i="20" s="1"/>
  <c r="R285" i="20"/>
  <c r="O285" i="20"/>
  <c r="P285" i="20" s="1"/>
  <c r="R284" i="20"/>
  <c r="O284" i="20"/>
  <c r="S284" i="20" s="1"/>
  <c r="R283" i="20"/>
  <c r="O283" i="20"/>
  <c r="S283" i="20" s="1"/>
  <c r="R282" i="20"/>
  <c r="O282" i="20"/>
  <c r="P282" i="20" s="1"/>
  <c r="R281" i="20"/>
  <c r="O281" i="20"/>
  <c r="R280" i="20"/>
  <c r="O280" i="20"/>
  <c r="S280" i="20" s="1"/>
  <c r="R279" i="20"/>
  <c r="O279" i="20"/>
  <c r="S279" i="20" s="1"/>
  <c r="R278" i="20"/>
  <c r="O278" i="20"/>
  <c r="S278" i="20" s="1"/>
  <c r="R277" i="20"/>
  <c r="O277" i="20"/>
  <c r="P277" i="20" s="1"/>
  <c r="R276" i="20"/>
  <c r="O276" i="20"/>
  <c r="S276" i="20" s="1"/>
  <c r="R275" i="20"/>
  <c r="O275" i="20"/>
  <c r="S275" i="20" s="1"/>
  <c r="R274" i="20"/>
  <c r="O274" i="20"/>
  <c r="P274" i="20" s="1"/>
  <c r="R273" i="20"/>
  <c r="O273" i="20"/>
  <c r="R272" i="20"/>
  <c r="O272" i="20"/>
  <c r="S272" i="20" s="1"/>
  <c r="R271" i="20"/>
  <c r="O271" i="20"/>
  <c r="S271" i="20" s="1"/>
  <c r="R270" i="20"/>
  <c r="O270" i="20"/>
  <c r="S270" i="20" s="1"/>
  <c r="R269" i="20"/>
  <c r="O269" i="20"/>
  <c r="P269" i="20" s="1"/>
  <c r="R268" i="20"/>
  <c r="O268" i="20"/>
  <c r="S268" i="20" s="1"/>
  <c r="R267" i="20"/>
  <c r="O267" i="20"/>
  <c r="S267" i="20" s="1"/>
  <c r="R266" i="20"/>
  <c r="O266" i="20"/>
  <c r="P266" i="20" s="1"/>
  <c r="R265" i="20"/>
  <c r="O265" i="20"/>
  <c r="R264" i="20"/>
  <c r="O264" i="20"/>
  <c r="S264" i="20" s="1"/>
  <c r="R263" i="20"/>
  <c r="O263" i="20"/>
  <c r="S263" i="20" s="1"/>
  <c r="R262" i="20"/>
  <c r="P262" i="20"/>
  <c r="O262" i="20"/>
  <c r="S262" i="20" s="1"/>
  <c r="R261" i="20"/>
  <c r="O261" i="20"/>
  <c r="P261" i="20" s="1"/>
  <c r="R260" i="20"/>
  <c r="O260" i="20"/>
  <c r="S260" i="20" s="1"/>
  <c r="R259" i="20"/>
  <c r="O259" i="20"/>
  <c r="S259" i="20" s="1"/>
  <c r="R258" i="20"/>
  <c r="O258" i="20"/>
  <c r="P258" i="20" s="1"/>
  <c r="R257" i="20"/>
  <c r="O257" i="20"/>
  <c r="R256" i="20"/>
  <c r="O256" i="20"/>
  <c r="S256" i="20" s="1"/>
  <c r="R255" i="20"/>
  <c r="O255" i="20"/>
  <c r="S255" i="20" s="1"/>
  <c r="R254" i="20"/>
  <c r="O254" i="20"/>
  <c r="P254" i="20" s="1"/>
  <c r="R253" i="20"/>
  <c r="O253" i="20"/>
  <c r="P253" i="20" s="1"/>
  <c r="R252" i="20"/>
  <c r="O252" i="20"/>
  <c r="S252" i="20" s="1"/>
  <c r="R251" i="20"/>
  <c r="O251" i="20"/>
  <c r="S251" i="20" s="1"/>
  <c r="R250" i="20"/>
  <c r="O250" i="20"/>
  <c r="P250" i="20" s="1"/>
  <c r="R249" i="20"/>
  <c r="O249" i="20"/>
  <c r="R248" i="20"/>
  <c r="O248" i="20"/>
  <c r="S248" i="20" s="1"/>
  <c r="R247" i="20"/>
  <c r="O247" i="20"/>
  <c r="S247" i="20" s="1"/>
  <c r="R246" i="20"/>
  <c r="O246" i="20"/>
  <c r="P246" i="20" s="1"/>
  <c r="R245" i="20"/>
  <c r="O245" i="20"/>
  <c r="P245" i="20" s="1"/>
  <c r="R244" i="20"/>
  <c r="O244" i="20"/>
  <c r="S244" i="20" s="1"/>
  <c r="R243" i="20"/>
  <c r="O243" i="20"/>
  <c r="S243" i="20" s="1"/>
  <c r="R242" i="20"/>
  <c r="O242" i="20"/>
  <c r="P242" i="20" s="1"/>
  <c r="R241" i="20"/>
  <c r="O241" i="20"/>
  <c r="R240" i="20"/>
  <c r="O240" i="20"/>
  <c r="S240" i="20" s="1"/>
  <c r="R239" i="20"/>
  <c r="O239" i="20"/>
  <c r="S239" i="20" s="1"/>
  <c r="R238" i="20"/>
  <c r="O238" i="20"/>
  <c r="P238" i="20" s="1"/>
  <c r="R237" i="20"/>
  <c r="O237" i="20"/>
  <c r="P237" i="20" s="1"/>
  <c r="R236" i="20"/>
  <c r="O236" i="20"/>
  <c r="S236" i="20" s="1"/>
  <c r="R235" i="20"/>
  <c r="O235" i="20"/>
  <c r="S235" i="20" s="1"/>
  <c r="R234" i="20"/>
  <c r="O234" i="20"/>
  <c r="P234" i="20" s="1"/>
  <c r="R233" i="20"/>
  <c r="O233" i="20"/>
  <c r="R232" i="20"/>
  <c r="O232" i="20"/>
  <c r="S232" i="20" s="1"/>
  <c r="R231" i="20"/>
  <c r="O231" i="20"/>
  <c r="S231" i="20" s="1"/>
  <c r="R230" i="20"/>
  <c r="O230" i="20"/>
  <c r="S230" i="20" s="1"/>
  <c r="R229" i="20"/>
  <c r="O229" i="20"/>
  <c r="P229" i="20" s="1"/>
  <c r="R228" i="20"/>
  <c r="O228" i="20"/>
  <c r="S228" i="20" s="1"/>
  <c r="R227" i="20"/>
  <c r="O227" i="20"/>
  <c r="S227" i="20" s="1"/>
  <c r="R226" i="20"/>
  <c r="O226" i="20"/>
  <c r="P226" i="20" s="1"/>
  <c r="R225" i="20"/>
  <c r="O225" i="20"/>
  <c r="R224" i="20"/>
  <c r="O224" i="20"/>
  <c r="S224" i="20" s="1"/>
  <c r="R223" i="20"/>
  <c r="O223" i="20"/>
  <c r="S223" i="20" s="1"/>
  <c r="R222" i="20"/>
  <c r="O222" i="20"/>
  <c r="S222" i="20" s="1"/>
  <c r="R221" i="20"/>
  <c r="O221" i="20"/>
  <c r="P221" i="20" s="1"/>
  <c r="R220" i="20"/>
  <c r="O220" i="20"/>
  <c r="S220" i="20" s="1"/>
  <c r="R219" i="20"/>
  <c r="O219" i="20"/>
  <c r="S219" i="20" s="1"/>
  <c r="R218" i="20"/>
  <c r="O218" i="20"/>
  <c r="P218" i="20" s="1"/>
  <c r="R217" i="20"/>
  <c r="O217" i="20"/>
  <c r="R216" i="20"/>
  <c r="O216" i="20"/>
  <c r="S216" i="20" s="1"/>
  <c r="R215" i="20"/>
  <c r="O215" i="20"/>
  <c r="S215" i="20" s="1"/>
  <c r="R214" i="20"/>
  <c r="O214" i="20"/>
  <c r="S214" i="20" s="1"/>
  <c r="R213" i="20"/>
  <c r="O213" i="20"/>
  <c r="P213" i="20" s="1"/>
  <c r="R212" i="20"/>
  <c r="O212" i="20"/>
  <c r="S212" i="20" s="1"/>
  <c r="R211" i="20"/>
  <c r="O211" i="20"/>
  <c r="S211" i="20" s="1"/>
  <c r="R210" i="20"/>
  <c r="O210" i="20"/>
  <c r="P210" i="20" s="1"/>
  <c r="R209" i="20"/>
  <c r="O209" i="20"/>
  <c r="R208" i="20"/>
  <c r="O208" i="20"/>
  <c r="S208" i="20" s="1"/>
  <c r="R207" i="20"/>
  <c r="O207" i="20"/>
  <c r="S207" i="20" s="1"/>
  <c r="R206" i="20"/>
  <c r="O206" i="20"/>
  <c r="S206" i="20" s="1"/>
  <c r="R205" i="20"/>
  <c r="O205" i="20"/>
  <c r="P205" i="20" s="1"/>
  <c r="R204" i="20"/>
  <c r="O204" i="20"/>
  <c r="S204" i="20" s="1"/>
  <c r="R203" i="20"/>
  <c r="O203" i="20"/>
  <c r="S203" i="20" s="1"/>
  <c r="R202" i="20"/>
  <c r="O202" i="20"/>
  <c r="P202" i="20" s="1"/>
  <c r="R201" i="20"/>
  <c r="O201" i="20"/>
  <c r="R200" i="20"/>
  <c r="O200" i="20"/>
  <c r="S200" i="20" s="1"/>
  <c r="R199" i="20"/>
  <c r="O199" i="20"/>
  <c r="S199" i="20" s="1"/>
  <c r="R198" i="20"/>
  <c r="O198" i="20"/>
  <c r="S198" i="20" s="1"/>
  <c r="R197" i="20"/>
  <c r="O197" i="20"/>
  <c r="S197" i="20" s="1"/>
  <c r="R196" i="20"/>
  <c r="O196" i="20"/>
  <c r="S196" i="20" s="1"/>
  <c r="R195" i="20"/>
  <c r="O195" i="20"/>
  <c r="S195" i="20" s="1"/>
  <c r="R194" i="20"/>
  <c r="O194" i="20"/>
  <c r="P194" i="20" s="1"/>
  <c r="R193" i="20"/>
  <c r="O193" i="20"/>
  <c r="R192" i="20"/>
  <c r="O192" i="20"/>
  <c r="S192" i="20" s="1"/>
  <c r="R191" i="20"/>
  <c r="P191" i="20"/>
  <c r="O191" i="20"/>
  <c r="S191" i="20" s="1"/>
  <c r="R190" i="20"/>
  <c r="O190" i="20"/>
  <c r="S190" i="20" s="1"/>
  <c r="R189" i="20"/>
  <c r="O189" i="20"/>
  <c r="S189" i="20" s="1"/>
  <c r="R188" i="20"/>
  <c r="O188" i="20"/>
  <c r="S188" i="20" s="1"/>
  <c r="R187" i="20"/>
  <c r="O187" i="20"/>
  <c r="S187" i="20" s="1"/>
  <c r="R186" i="20"/>
  <c r="O186" i="20"/>
  <c r="P186" i="20" s="1"/>
  <c r="R185" i="20"/>
  <c r="O185" i="20"/>
  <c r="R184" i="20"/>
  <c r="O184" i="20"/>
  <c r="S184" i="20" s="1"/>
  <c r="R183" i="20"/>
  <c r="O183" i="20"/>
  <c r="S183" i="20" s="1"/>
  <c r="R182" i="20"/>
  <c r="O182" i="20"/>
  <c r="S182" i="20" s="1"/>
  <c r="R181" i="20"/>
  <c r="O181" i="20"/>
  <c r="P181" i="20" s="1"/>
  <c r="R180" i="20"/>
  <c r="O180" i="20"/>
  <c r="S180" i="20" s="1"/>
  <c r="R179" i="20"/>
  <c r="O179" i="20"/>
  <c r="S179" i="20" s="1"/>
  <c r="R178" i="20"/>
  <c r="O178" i="20"/>
  <c r="P178" i="20" s="1"/>
  <c r="R177" i="20"/>
  <c r="O177" i="20"/>
  <c r="R176" i="20"/>
  <c r="O176" i="20"/>
  <c r="S176" i="20" s="1"/>
  <c r="R175" i="20"/>
  <c r="O175" i="20"/>
  <c r="S175" i="20" s="1"/>
  <c r="R174" i="20"/>
  <c r="O174" i="20"/>
  <c r="S174" i="20" s="1"/>
  <c r="R173" i="20"/>
  <c r="O173" i="20"/>
  <c r="P173" i="20" s="1"/>
  <c r="R172" i="20"/>
  <c r="O172" i="20"/>
  <c r="S172" i="20" s="1"/>
  <c r="R171" i="20"/>
  <c r="O171" i="20"/>
  <c r="S171" i="20" s="1"/>
  <c r="R170" i="20"/>
  <c r="O170" i="20"/>
  <c r="S170" i="20" s="1"/>
  <c r="R169" i="20"/>
  <c r="O169" i="20"/>
  <c r="R168" i="20"/>
  <c r="O168" i="20"/>
  <c r="S168" i="20" s="1"/>
  <c r="R167" i="20"/>
  <c r="O167" i="20"/>
  <c r="S167" i="20" s="1"/>
  <c r="R166" i="20"/>
  <c r="O166" i="20"/>
  <c r="S166" i="20" s="1"/>
  <c r="R165" i="20"/>
  <c r="O165" i="20"/>
  <c r="P165" i="20" s="1"/>
  <c r="R164" i="20"/>
  <c r="P164" i="20"/>
  <c r="O164" i="20"/>
  <c r="S164" i="20" s="1"/>
  <c r="R163" i="20"/>
  <c r="O163" i="20"/>
  <c r="S163" i="20" s="1"/>
  <c r="R162" i="20"/>
  <c r="O162" i="20"/>
  <c r="S162" i="20" s="1"/>
  <c r="R161" i="20"/>
  <c r="O161" i="20"/>
  <c r="R160" i="20"/>
  <c r="O160" i="20"/>
  <c r="S160" i="20" s="1"/>
  <c r="R159" i="20"/>
  <c r="O159" i="20"/>
  <c r="S159" i="20" s="1"/>
  <c r="R158" i="20"/>
  <c r="O158" i="20"/>
  <c r="S158" i="20" s="1"/>
  <c r="R157" i="20"/>
  <c r="O157" i="20"/>
  <c r="P157" i="20" s="1"/>
  <c r="R156" i="20"/>
  <c r="O156" i="20"/>
  <c r="S156" i="20" s="1"/>
  <c r="R155" i="20"/>
  <c r="O155" i="20"/>
  <c r="S155" i="20" s="1"/>
  <c r="R154" i="20"/>
  <c r="O154" i="20"/>
  <c r="P154" i="20" s="1"/>
  <c r="R153" i="20"/>
  <c r="O153" i="20"/>
  <c r="R152" i="20"/>
  <c r="O152" i="20"/>
  <c r="S152" i="20" s="1"/>
  <c r="R151" i="20"/>
  <c r="O151" i="20"/>
  <c r="S151" i="20" s="1"/>
  <c r="R150" i="20"/>
  <c r="O150" i="20"/>
  <c r="S150" i="20" s="1"/>
  <c r="R149" i="20"/>
  <c r="O149" i="20"/>
  <c r="P149" i="20" s="1"/>
  <c r="R148" i="20"/>
  <c r="O148" i="20"/>
  <c r="S148" i="20" s="1"/>
  <c r="R147" i="20"/>
  <c r="O147" i="20"/>
  <c r="S147" i="20" s="1"/>
  <c r="R146" i="20"/>
  <c r="O146" i="20"/>
  <c r="S146" i="20" s="1"/>
  <c r="R145" i="20"/>
  <c r="O145" i="20"/>
  <c r="R144" i="20"/>
  <c r="O144" i="20"/>
  <c r="S144" i="20" s="1"/>
  <c r="R143" i="20"/>
  <c r="O143" i="20"/>
  <c r="S143" i="20" s="1"/>
  <c r="R142" i="20"/>
  <c r="O142" i="20"/>
  <c r="S142" i="20" s="1"/>
  <c r="R141" i="20"/>
  <c r="O141" i="20"/>
  <c r="P141" i="20" s="1"/>
  <c r="R140" i="20"/>
  <c r="O140" i="20"/>
  <c r="S140" i="20" s="1"/>
  <c r="R139" i="20"/>
  <c r="O139" i="20"/>
  <c r="S139" i="20" s="1"/>
  <c r="R138" i="20"/>
  <c r="O138" i="20"/>
  <c r="P138" i="20" s="1"/>
  <c r="R137" i="20"/>
  <c r="O137" i="20"/>
  <c r="R136" i="20"/>
  <c r="O136" i="20"/>
  <c r="S136" i="20" s="1"/>
  <c r="R135" i="20"/>
  <c r="O135" i="20"/>
  <c r="S135" i="20" s="1"/>
  <c r="R134" i="20"/>
  <c r="O134" i="20"/>
  <c r="S134" i="20" s="1"/>
  <c r="R133" i="20"/>
  <c r="O133" i="20"/>
  <c r="P133" i="20" s="1"/>
  <c r="R132" i="20"/>
  <c r="O132" i="20"/>
  <c r="S132" i="20" s="1"/>
  <c r="R131" i="20"/>
  <c r="O131" i="20"/>
  <c r="S131" i="20" s="1"/>
  <c r="R130" i="20"/>
  <c r="O130" i="20"/>
  <c r="P130" i="20" s="1"/>
  <c r="R129" i="20"/>
  <c r="O129" i="20"/>
  <c r="R128" i="20"/>
  <c r="O128" i="20"/>
  <c r="S128" i="20" s="1"/>
  <c r="R127" i="20"/>
  <c r="O127" i="20"/>
  <c r="S127" i="20" s="1"/>
  <c r="R126" i="20"/>
  <c r="O126" i="20"/>
  <c r="S126" i="20" s="1"/>
  <c r="R125" i="20"/>
  <c r="O125" i="20"/>
  <c r="P125" i="20" s="1"/>
  <c r="R124" i="20"/>
  <c r="O124" i="20"/>
  <c r="S124" i="20" s="1"/>
  <c r="R123" i="20"/>
  <c r="O123" i="20"/>
  <c r="S123" i="20" s="1"/>
  <c r="R122" i="20"/>
  <c r="O122" i="20"/>
  <c r="P122" i="20" s="1"/>
  <c r="R121" i="20"/>
  <c r="O121" i="20"/>
  <c r="R120" i="20"/>
  <c r="O120" i="20"/>
  <c r="S120" i="20" s="1"/>
  <c r="R119" i="20"/>
  <c r="O119" i="20"/>
  <c r="S119" i="20" s="1"/>
  <c r="R118" i="20"/>
  <c r="O118" i="20"/>
  <c r="S118" i="20" s="1"/>
  <c r="R117" i="20"/>
  <c r="O117" i="20"/>
  <c r="P117" i="20" s="1"/>
  <c r="R116" i="20"/>
  <c r="O116" i="20"/>
  <c r="S116" i="20" s="1"/>
  <c r="R115" i="20"/>
  <c r="O115" i="20"/>
  <c r="S115" i="20" s="1"/>
  <c r="R114" i="20"/>
  <c r="O114" i="20"/>
  <c r="P114" i="20" s="1"/>
  <c r="R113" i="20"/>
  <c r="O113" i="20"/>
  <c r="R112" i="20"/>
  <c r="O112" i="20"/>
  <c r="S112" i="20" s="1"/>
  <c r="R111" i="20"/>
  <c r="O111" i="20"/>
  <c r="S111" i="20" s="1"/>
  <c r="R110" i="20"/>
  <c r="O110" i="20"/>
  <c r="S110" i="20" s="1"/>
  <c r="R109" i="20"/>
  <c r="O109" i="20"/>
  <c r="P109" i="20" s="1"/>
  <c r="R108" i="20"/>
  <c r="O108" i="20"/>
  <c r="S108" i="20" s="1"/>
  <c r="R107" i="20"/>
  <c r="O107" i="20"/>
  <c r="S107" i="20" s="1"/>
  <c r="R106" i="20"/>
  <c r="O106" i="20"/>
  <c r="P106" i="20" s="1"/>
  <c r="R105" i="20"/>
  <c r="O105" i="20"/>
  <c r="R104" i="20"/>
  <c r="O104" i="20"/>
  <c r="S104" i="20" s="1"/>
  <c r="R103" i="20"/>
  <c r="O103" i="20"/>
  <c r="S103" i="20" s="1"/>
  <c r="R102" i="20"/>
  <c r="O102" i="20"/>
  <c r="S102" i="20" s="1"/>
  <c r="R101" i="20"/>
  <c r="O101" i="20"/>
  <c r="P101" i="20" s="1"/>
  <c r="R100" i="20"/>
  <c r="O100" i="20"/>
  <c r="S100" i="20" s="1"/>
  <c r="R99" i="20"/>
  <c r="O99" i="20"/>
  <c r="S99" i="20" s="1"/>
  <c r="R98" i="20"/>
  <c r="O98" i="20"/>
  <c r="P98" i="20" s="1"/>
  <c r="R97" i="20"/>
  <c r="O97" i="20"/>
  <c r="R96" i="20"/>
  <c r="O96" i="20"/>
  <c r="S96" i="20" s="1"/>
  <c r="R95" i="20"/>
  <c r="O95" i="20"/>
  <c r="S95" i="20" s="1"/>
  <c r="R94" i="20"/>
  <c r="O94" i="20"/>
  <c r="S94" i="20" s="1"/>
  <c r="R93" i="20"/>
  <c r="O93" i="20"/>
  <c r="P93" i="20" s="1"/>
  <c r="R92" i="20"/>
  <c r="O92" i="20"/>
  <c r="S92" i="20" s="1"/>
  <c r="R91" i="20"/>
  <c r="O91" i="20"/>
  <c r="S91" i="20" s="1"/>
  <c r="R90" i="20"/>
  <c r="O90" i="20"/>
  <c r="S90" i="20" s="1"/>
  <c r="R89" i="20"/>
  <c r="O89" i="20"/>
  <c r="R88" i="20"/>
  <c r="O88" i="20"/>
  <c r="S88" i="20" s="1"/>
  <c r="R87" i="20"/>
  <c r="O87" i="20"/>
  <c r="S87" i="20" s="1"/>
  <c r="R86" i="20"/>
  <c r="O86" i="20"/>
  <c r="S86" i="20" s="1"/>
  <c r="R85" i="20"/>
  <c r="O85" i="20"/>
  <c r="P85" i="20" s="1"/>
  <c r="R84" i="20"/>
  <c r="O84" i="20"/>
  <c r="S84" i="20" s="1"/>
  <c r="R83" i="20"/>
  <c r="O83" i="20"/>
  <c r="S83" i="20" s="1"/>
  <c r="R82" i="20"/>
  <c r="O82" i="20"/>
  <c r="S82" i="20" s="1"/>
  <c r="R81" i="20"/>
  <c r="O81" i="20"/>
  <c r="R80" i="20"/>
  <c r="O80" i="20"/>
  <c r="S80" i="20" s="1"/>
  <c r="R79" i="20"/>
  <c r="O79" i="20"/>
  <c r="S79" i="20" s="1"/>
  <c r="R78" i="20"/>
  <c r="O78" i="20"/>
  <c r="S78" i="20" s="1"/>
  <c r="R77" i="20"/>
  <c r="O77" i="20"/>
  <c r="P77" i="20" s="1"/>
  <c r="R76" i="20"/>
  <c r="O76" i="20"/>
  <c r="S76" i="20" s="1"/>
  <c r="R75" i="20"/>
  <c r="O75" i="20"/>
  <c r="S75" i="20" s="1"/>
  <c r="R74" i="20"/>
  <c r="O74" i="20"/>
  <c r="S74" i="20" s="1"/>
  <c r="R73" i="20"/>
  <c r="O73" i="20"/>
  <c r="S73" i="20" s="1"/>
  <c r="R72" i="20"/>
  <c r="O72" i="20"/>
  <c r="P72" i="20" s="1"/>
  <c r="R71" i="20"/>
  <c r="O71" i="20"/>
  <c r="S71" i="20" s="1"/>
  <c r="R70" i="20"/>
  <c r="O70" i="20"/>
  <c r="S70" i="20" s="1"/>
  <c r="R69" i="20"/>
  <c r="O69" i="20"/>
  <c r="P69" i="20" s="1"/>
  <c r="R68" i="20"/>
  <c r="O68" i="20"/>
  <c r="S68" i="20" s="1"/>
  <c r="R67" i="20"/>
  <c r="O67" i="20"/>
  <c r="S67" i="20" s="1"/>
  <c r="R66" i="20"/>
  <c r="O66" i="20"/>
  <c r="P66" i="20" s="1"/>
  <c r="R65" i="20"/>
  <c r="O65" i="20"/>
  <c r="P65" i="20" s="1"/>
  <c r="R64" i="20"/>
  <c r="O64" i="20"/>
  <c r="S64" i="20" s="1"/>
  <c r="R63" i="20"/>
  <c r="O63" i="20"/>
  <c r="P63" i="20" s="1"/>
  <c r="R62" i="20"/>
  <c r="O62" i="20"/>
  <c r="S62" i="20" s="1"/>
  <c r="R61" i="20"/>
  <c r="O61" i="20"/>
  <c r="S61" i="20" s="1"/>
  <c r="R60" i="20"/>
  <c r="O60" i="20"/>
  <c r="S60" i="20" s="1"/>
  <c r="R59" i="20"/>
  <c r="O59" i="20"/>
  <c r="S59" i="20" s="1"/>
  <c r="R58" i="20"/>
  <c r="O58" i="20"/>
  <c r="P58" i="20" s="1"/>
  <c r="R57" i="20"/>
  <c r="O57" i="20"/>
  <c r="P57" i="20" s="1"/>
  <c r="R56" i="20"/>
  <c r="O56" i="20"/>
  <c r="S56" i="20" s="1"/>
  <c r="R55" i="20"/>
  <c r="O55" i="20"/>
  <c r="P55" i="20" s="1"/>
  <c r="R54" i="20"/>
  <c r="O54" i="20"/>
  <c r="S54" i="20" s="1"/>
  <c r="R53" i="20"/>
  <c r="O53" i="20"/>
  <c r="S53" i="20" s="1"/>
  <c r="R52" i="20"/>
  <c r="O52" i="20"/>
  <c r="S52" i="20" s="1"/>
  <c r="R51" i="20"/>
  <c r="O51" i="20"/>
  <c r="S51" i="20" s="1"/>
  <c r="R50" i="20"/>
  <c r="O50" i="20"/>
  <c r="P50" i="20" s="1"/>
  <c r="R49" i="20"/>
  <c r="O49" i="20"/>
  <c r="P49" i="20" s="1"/>
  <c r="R48" i="20"/>
  <c r="O48" i="20"/>
  <c r="S48" i="20" s="1"/>
  <c r="R47" i="20"/>
  <c r="O47" i="20"/>
  <c r="P47" i="20" s="1"/>
  <c r="R46" i="20"/>
  <c r="O46" i="20"/>
  <c r="S46" i="20" s="1"/>
  <c r="R45" i="20"/>
  <c r="O45" i="20"/>
  <c r="S45" i="20" s="1"/>
  <c r="R44" i="20"/>
  <c r="O44" i="20"/>
  <c r="S44" i="20" s="1"/>
  <c r="R43" i="20"/>
  <c r="O43" i="20"/>
  <c r="S43" i="20" s="1"/>
  <c r="R42" i="20"/>
  <c r="O42" i="20"/>
  <c r="P42" i="20" s="1"/>
  <c r="R41" i="20"/>
  <c r="O41" i="20"/>
  <c r="P41" i="20" s="1"/>
  <c r="R40" i="20"/>
  <c r="O40" i="20"/>
  <c r="S40" i="20" s="1"/>
  <c r="R39" i="20"/>
  <c r="O39" i="20"/>
  <c r="P39" i="20" s="1"/>
  <c r="R38" i="20"/>
  <c r="O38" i="20"/>
  <c r="S38" i="20" s="1"/>
  <c r="R37" i="20"/>
  <c r="O37" i="20"/>
  <c r="S37" i="20" s="1"/>
  <c r="R36" i="20"/>
  <c r="O36" i="20"/>
  <c r="S36" i="20" s="1"/>
  <c r="R35" i="20"/>
  <c r="O35" i="20"/>
  <c r="S35" i="20" s="1"/>
  <c r="R34" i="20"/>
  <c r="O34" i="20"/>
  <c r="S34" i="20" s="1"/>
  <c r="R33" i="20"/>
  <c r="O33" i="20"/>
  <c r="P33" i="20" s="1"/>
  <c r="R32" i="20"/>
  <c r="O32" i="20"/>
  <c r="S32" i="20" s="1"/>
  <c r="R31" i="20"/>
  <c r="O31" i="20"/>
  <c r="P31" i="20" s="1"/>
  <c r="R30" i="20"/>
  <c r="O30" i="20"/>
  <c r="S30" i="20" s="1"/>
  <c r="R29" i="20"/>
  <c r="O29" i="20"/>
  <c r="S29" i="20" s="1"/>
  <c r="R28" i="20"/>
  <c r="O28" i="20"/>
  <c r="S28" i="20" s="1"/>
  <c r="R27" i="20"/>
  <c r="O27" i="20"/>
  <c r="S27" i="20" s="1"/>
  <c r="R26" i="20"/>
  <c r="O26" i="20"/>
  <c r="P26" i="20" s="1"/>
  <c r="R25" i="20"/>
  <c r="O25" i="20"/>
  <c r="P25" i="20" s="1"/>
  <c r="R24" i="20"/>
  <c r="O24" i="20"/>
  <c r="S24" i="20" s="1"/>
  <c r="R23" i="20"/>
  <c r="O23" i="20"/>
  <c r="P23" i="20" s="1"/>
  <c r="R22" i="20"/>
  <c r="O22" i="20"/>
  <c r="S22" i="20" s="1"/>
  <c r="R21" i="20"/>
  <c r="O21" i="20"/>
  <c r="S21" i="20" s="1"/>
  <c r="R20" i="20"/>
  <c r="O20" i="20"/>
  <c r="S20" i="20" s="1"/>
  <c r="R19" i="20"/>
  <c r="O19" i="20"/>
  <c r="S19" i="20" s="1"/>
  <c r="R18" i="20"/>
  <c r="O18" i="20"/>
  <c r="S18" i="20" s="1"/>
  <c r="R17" i="20"/>
  <c r="O17" i="20"/>
  <c r="S17" i="20" s="1"/>
  <c r="R16" i="20"/>
  <c r="O16" i="20"/>
  <c r="S16" i="20" s="1"/>
  <c r="R15" i="20"/>
  <c r="O15" i="20"/>
  <c r="P15" i="20" s="1"/>
  <c r="R14" i="20"/>
  <c r="O14" i="20"/>
  <c r="S14" i="20" s="1"/>
  <c r="R13" i="20"/>
  <c r="O13" i="20"/>
  <c r="P13" i="20" s="1"/>
  <c r="R12" i="20"/>
  <c r="O12" i="20"/>
  <c r="S12" i="20" s="1"/>
  <c r="R11" i="20"/>
  <c r="O11" i="20"/>
  <c r="S11" i="20" s="1"/>
  <c r="R10" i="20"/>
  <c r="O10" i="20"/>
  <c r="S10" i="20" s="1"/>
  <c r="R9" i="20"/>
  <c r="O9" i="20"/>
  <c r="S9" i="20" s="1"/>
  <c r="R8" i="20"/>
  <c r="O8" i="20"/>
  <c r="S8" i="20" s="1"/>
  <c r="R7" i="20"/>
  <c r="O7" i="20"/>
  <c r="P7" i="20" s="1"/>
  <c r="Q6" i="20"/>
  <c r="N6" i="20"/>
  <c r="M6" i="20"/>
  <c r="L6" i="20"/>
  <c r="K6" i="20"/>
  <c r="J6" i="20"/>
  <c r="I6" i="20"/>
  <c r="H6" i="20"/>
  <c r="G6" i="20"/>
  <c r="F6" i="20"/>
  <c r="E6" i="20"/>
  <c r="D6" i="20"/>
  <c r="C6" i="20"/>
  <c r="G11" i="22" l="1"/>
  <c r="P271" i="20"/>
  <c r="P255" i="20"/>
  <c r="S258" i="20"/>
  <c r="J44" i="22"/>
  <c r="J92" i="22"/>
  <c r="J32" i="22"/>
  <c r="J88" i="22"/>
  <c r="J118" i="22"/>
  <c r="J36" i="22"/>
  <c r="J304" i="22"/>
  <c r="J12" i="22"/>
  <c r="J132" i="22"/>
  <c r="J20" i="22"/>
  <c r="J52" i="22"/>
  <c r="J141" i="22"/>
  <c r="J145" i="22"/>
  <c r="J181" i="22"/>
  <c r="J185" i="22"/>
  <c r="J189" i="22"/>
  <c r="J193" i="22"/>
  <c r="J197" i="22"/>
  <c r="J201" i="22"/>
  <c r="J205" i="22"/>
  <c r="J209" i="22"/>
  <c r="J221" i="22"/>
  <c r="J225" i="22"/>
  <c r="J253" i="22"/>
  <c r="J257" i="22"/>
  <c r="J140" i="22"/>
  <c r="J59" i="22"/>
  <c r="J63" i="22"/>
  <c r="J67" i="22"/>
  <c r="J55" i="22"/>
  <c r="J74" i="22"/>
  <c r="J134" i="22"/>
  <c r="J138" i="22"/>
  <c r="J68" i="22"/>
  <c r="J80" i="22"/>
  <c r="J96" i="22"/>
  <c r="J156" i="22"/>
  <c r="J160" i="22"/>
  <c r="J168" i="22"/>
  <c r="J172" i="22"/>
  <c r="J176" i="22"/>
  <c r="J184" i="22"/>
  <c r="J276" i="22"/>
  <c r="J300" i="22"/>
  <c r="J38" i="22"/>
  <c r="J42" i="22"/>
  <c r="J287" i="22"/>
  <c r="J291" i="22"/>
  <c r="J295" i="22"/>
  <c r="J303" i="22"/>
  <c r="J13" i="22"/>
  <c r="J17" i="22"/>
  <c r="J25" i="22"/>
  <c r="J222" i="22"/>
  <c r="J242" i="22"/>
  <c r="J274" i="22"/>
  <c r="J45" i="22"/>
  <c r="J49" i="22"/>
  <c r="J228" i="22"/>
  <c r="J244" i="22"/>
  <c r="J260" i="22"/>
  <c r="J212" i="22"/>
  <c r="J155" i="22"/>
  <c r="J207" i="22"/>
  <c r="J292" i="22"/>
  <c r="J70" i="22"/>
  <c r="J159" i="22"/>
  <c r="J187" i="22"/>
  <c r="J267" i="22"/>
  <c r="J283" i="22"/>
  <c r="I11" i="22"/>
  <c r="J101" i="22"/>
  <c r="J105" i="22"/>
  <c r="J109" i="22"/>
  <c r="J113" i="22"/>
  <c r="J125" i="22"/>
  <c r="J129" i="22"/>
  <c r="J158" i="22"/>
  <c r="J162" i="22"/>
  <c r="J223" i="22"/>
  <c r="J227" i="22"/>
  <c r="J243" i="22"/>
  <c r="J198" i="22"/>
  <c r="J202" i="22"/>
  <c r="J206" i="22"/>
  <c r="J219" i="22"/>
  <c r="J235" i="22"/>
  <c r="J251" i="22"/>
  <c r="J76" i="22"/>
  <c r="J84" i="22"/>
  <c r="J100" i="22"/>
  <c r="J108" i="22"/>
  <c r="J116" i="22"/>
  <c r="J218" i="22"/>
  <c r="J230" i="22"/>
  <c r="J234" i="22"/>
  <c r="J250" i="22"/>
  <c r="J21" i="22"/>
  <c r="J29" i="22"/>
  <c r="J33" i="22"/>
  <c r="J71" i="22"/>
  <c r="J75" i="22"/>
  <c r="J286" i="22"/>
  <c r="J299" i="22"/>
  <c r="J62" i="22"/>
  <c r="J66" i="22"/>
  <c r="J111" i="22"/>
  <c r="J148" i="22"/>
  <c r="J164" i="22"/>
  <c r="J180" i="22"/>
  <c r="J200" i="22"/>
  <c r="J204" i="22"/>
  <c r="J269" i="22"/>
  <c r="J273" i="22"/>
  <c r="J278" i="22"/>
  <c r="J282" i="22"/>
  <c r="J82" i="22"/>
  <c r="J122" i="22"/>
  <c r="J126" i="22"/>
  <c r="J130" i="22"/>
  <c r="J143" i="22"/>
  <c r="J147" i="22"/>
  <c r="J151" i="22"/>
  <c r="J163" i="22"/>
  <c r="J196" i="22"/>
  <c r="J236" i="22"/>
  <c r="J240" i="22"/>
  <c r="J252" i="22"/>
  <c r="J256" i="22"/>
  <c r="J285" i="22"/>
  <c r="J289" i="22"/>
  <c r="J298" i="22"/>
  <c r="J26" i="22"/>
  <c r="J30" i="22"/>
  <c r="J34" i="22"/>
  <c r="J47" i="22"/>
  <c r="J51" i="22"/>
  <c r="J72" i="22"/>
  <c r="J85" i="22"/>
  <c r="J89" i="22"/>
  <c r="J93" i="22"/>
  <c r="J97" i="22"/>
  <c r="J114" i="22"/>
  <c r="J135" i="22"/>
  <c r="J139" i="22"/>
  <c r="J152" i="22"/>
  <c r="J165" i="22"/>
  <c r="J169" i="22"/>
  <c r="J173" i="22"/>
  <c r="J177" i="22"/>
  <c r="J190" i="22"/>
  <c r="J194" i="22"/>
  <c r="J215" i="22"/>
  <c r="J232" i="22"/>
  <c r="J245" i="22"/>
  <c r="J249" i="22"/>
  <c r="J262" i="22"/>
  <c r="J266" i="22"/>
  <c r="J296" i="22"/>
  <c r="H11" i="22"/>
  <c r="J214" i="22"/>
  <c r="J231" i="22"/>
  <c r="J248" i="22"/>
  <c r="J261" i="22"/>
  <c r="J265" i="22"/>
  <c r="J16" i="22"/>
  <c r="J37" i="22"/>
  <c r="J41" i="22"/>
  <c r="J54" i="22"/>
  <c r="J79" i="22"/>
  <c r="J83" i="22"/>
  <c r="J104" i="22"/>
  <c r="J117" i="22"/>
  <c r="J121" i="22"/>
  <c r="J142" i="22"/>
  <c r="J24" i="22"/>
  <c r="J28" i="22"/>
  <c r="J87" i="22"/>
  <c r="J91" i="22"/>
  <c r="J95" i="22"/>
  <c r="J99" i="22"/>
  <c r="J112" i="22"/>
  <c r="J133" i="22"/>
  <c r="J137" i="22"/>
  <c r="J150" i="22"/>
  <c r="J154" i="22"/>
  <c r="J171" i="22"/>
  <c r="J175" i="22"/>
  <c r="J179" i="22"/>
  <c r="J188" i="22"/>
  <c r="J192" i="22"/>
  <c r="J213" i="22"/>
  <c r="J217" i="22"/>
  <c r="J264" i="22"/>
  <c r="J277" i="22"/>
  <c r="J281" i="22"/>
  <c r="J294" i="22"/>
  <c r="J15" i="22"/>
  <c r="J19" i="22"/>
  <c r="J40" i="22"/>
  <c r="J53" i="22"/>
  <c r="J57" i="22"/>
  <c r="J61" i="22"/>
  <c r="J65" i="22"/>
  <c r="J78" i="22"/>
  <c r="J103" i="22"/>
  <c r="J107" i="22"/>
  <c r="J120" i="22"/>
  <c r="J124" i="22"/>
  <c r="J128" i="22"/>
  <c r="J183" i="22"/>
  <c r="J208" i="22"/>
  <c r="J255" i="22"/>
  <c r="J259" i="22"/>
  <c r="J268" i="22"/>
  <c r="J272" i="22"/>
  <c r="J302" i="22"/>
  <c r="J23" i="22"/>
  <c r="J27" i="22"/>
  <c r="J31" i="22"/>
  <c r="J35" i="22"/>
  <c r="J48" i="22"/>
  <c r="J69" i="22"/>
  <c r="J73" i="22"/>
  <c r="J90" i="22"/>
  <c r="J98" i="22"/>
  <c r="J115" i="22"/>
  <c r="J136" i="22"/>
  <c r="J149" i="22"/>
  <c r="J153" i="22"/>
  <c r="J166" i="22"/>
  <c r="J170" i="22"/>
  <c r="J174" i="22"/>
  <c r="J191" i="22"/>
  <c r="J195" i="22"/>
  <c r="J216" i="22"/>
  <c r="J229" i="22"/>
  <c r="J233" i="22"/>
  <c r="J246" i="22"/>
  <c r="J263" i="22"/>
  <c r="J280" i="22"/>
  <c r="J293" i="22"/>
  <c r="J297" i="22"/>
  <c r="J14" i="22"/>
  <c r="J39" i="22"/>
  <c r="J43" i="22"/>
  <c r="J56" i="22"/>
  <c r="J60" i="22"/>
  <c r="J64" i="22"/>
  <c r="J77" i="22"/>
  <c r="J81" i="22"/>
  <c r="J102" i="22"/>
  <c r="J106" i="22"/>
  <c r="J119" i="22"/>
  <c r="J123" i="22"/>
  <c r="J127" i="22"/>
  <c r="J131" i="22"/>
  <c r="J144" i="22"/>
  <c r="J157" i="22"/>
  <c r="J161" i="22"/>
  <c r="J182" i="22"/>
  <c r="J186" i="22"/>
  <c r="J199" i="22"/>
  <c r="J203" i="22"/>
  <c r="J211" i="22"/>
  <c r="J220" i="22"/>
  <c r="J224" i="22"/>
  <c r="J237" i="22"/>
  <c r="J241" i="22"/>
  <c r="J254" i="22"/>
  <c r="J258" i="22"/>
  <c r="J271" i="22"/>
  <c r="J275" i="22"/>
  <c r="J284" i="22"/>
  <c r="J288" i="22"/>
  <c r="J301" i="22"/>
  <c r="J22" i="22"/>
  <c r="J58" i="22"/>
  <c r="J86" i="22"/>
  <c r="J94" i="22"/>
  <c r="J226" i="22"/>
  <c r="J290" i="22"/>
  <c r="J167" i="22"/>
  <c r="J239" i="22"/>
  <c r="J18" i="22"/>
  <c r="J46" i="22"/>
  <c r="J50" i="22"/>
  <c r="J110" i="22"/>
  <c r="J146" i="22"/>
  <c r="J178" i="22"/>
  <c r="J210" i="22"/>
  <c r="J238" i="22"/>
  <c r="J247" i="22"/>
  <c r="J270" i="22"/>
  <c r="J279" i="22"/>
  <c r="P232" i="20"/>
  <c r="S55" i="20"/>
  <c r="P79" i="20"/>
  <c r="P142" i="20"/>
  <c r="S149" i="20"/>
  <c r="P127" i="20"/>
  <c r="S58" i="20"/>
  <c r="P108" i="20"/>
  <c r="S130" i="20"/>
  <c r="R6" i="20"/>
  <c r="S157" i="20"/>
  <c r="P175" i="20"/>
  <c r="P34" i="20"/>
  <c r="P76" i="20"/>
  <c r="P95" i="20"/>
  <c r="S98" i="20"/>
  <c r="S117" i="20"/>
  <c r="P140" i="20"/>
  <c r="S154" i="20"/>
  <c r="P172" i="20"/>
  <c r="P294" i="20"/>
  <c r="S165" i="20"/>
  <c r="S218" i="20"/>
  <c r="S15" i="20"/>
  <c r="S50" i="20"/>
  <c r="P166" i="20"/>
  <c r="P212" i="20"/>
  <c r="S234" i="20"/>
  <c r="P83" i="20"/>
  <c r="P90" i="20"/>
  <c r="P146" i="20"/>
  <c r="P158" i="20"/>
  <c r="P196" i="20"/>
  <c r="P252" i="20"/>
  <c r="P272" i="20"/>
  <c r="P279" i="20"/>
  <c r="P286" i="20"/>
  <c r="P111" i="20"/>
  <c r="S114" i="20"/>
  <c r="P270" i="20"/>
  <c r="P10" i="20"/>
  <c r="P20" i="20"/>
  <c r="P60" i="20"/>
  <c r="S63" i="20"/>
  <c r="S66" i="20"/>
  <c r="S77" i="20"/>
  <c r="P84" i="20"/>
  <c r="P159" i="20"/>
  <c r="P183" i="20"/>
  <c r="S238" i="20"/>
  <c r="P284" i="20"/>
  <c r="P287" i="20"/>
  <c r="S7" i="20"/>
  <c r="P28" i="20"/>
  <c r="S101" i="20"/>
  <c r="S133" i="20"/>
  <c r="P180" i="20"/>
  <c r="S194" i="20"/>
  <c r="S250" i="20"/>
  <c r="P64" i="20"/>
  <c r="P170" i="20"/>
  <c r="P8" i="20"/>
  <c r="P18" i="20"/>
  <c r="P44" i="20"/>
  <c r="S47" i="20"/>
  <c r="P92" i="20"/>
  <c r="P124" i="20"/>
  <c r="P148" i="20"/>
  <c r="P151" i="20"/>
  <c r="S202" i="20"/>
  <c r="S274" i="20"/>
  <c r="P16" i="20"/>
  <c r="S31" i="20"/>
  <c r="S69" i="20"/>
  <c r="P82" i="20"/>
  <c r="P87" i="20"/>
  <c r="P99" i="20"/>
  <c r="P143" i="20"/>
  <c r="S178" i="20"/>
  <c r="S181" i="20"/>
  <c r="P188" i="20"/>
  <c r="P197" i="20"/>
  <c r="S210" i="20"/>
  <c r="P228" i="20"/>
  <c r="P244" i="20"/>
  <c r="P247" i="20"/>
  <c r="P256" i="20"/>
  <c r="P268" i="20"/>
  <c r="S282" i="20"/>
  <c r="P288" i="20"/>
  <c r="O6" i="20"/>
  <c r="P6" i="20" s="1"/>
  <c r="S26" i="20"/>
  <c r="S42" i="20"/>
  <c r="P68" i="20"/>
  <c r="P74" i="20"/>
  <c r="P100" i="20"/>
  <c r="P103" i="20"/>
  <c r="S106" i="20"/>
  <c r="S109" i="20"/>
  <c r="P116" i="20"/>
  <c r="P119" i="20"/>
  <c r="S122" i="20"/>
  <c r="S125" i="20"/>
  <c r="P132" i="20"/>
  <c r="P135" i="20"/>
  <c r="S138" i="20"/>
  <c r="S141" i="20"/>
  <c r="P150" i="20"/>
  <c r="P156" i="20"/>
  <c r="P162" i="20"/>
  <c r="S173" i="20"/>
  <c r="P189" i="20"/>
  <c r="P236" i="20"/>
  <c r="P239" i="20"/>
  <c r="P248" i="20"/>
  <c r="S254" i="20"/>
  <c r="P263" i="20"/>
  <c r="P278" i="20"/>
  <c r="P295" i="20"/>
  <c r="S93" i="20"/>
  <c r="P29" i="20"/>
  <c r="P52" i="20"/>
  <c r="S23" i="20"/>
  <c r="P36" i="20"/>
  <c r="S39" i="20"/>
  <c r="P56" i="20"/>
  <c r="P71" i="20"/>
  <c r="S85" i="20"/>
  <c r="S186" i="20"/>
  <c r="S226" i="20"/>
  <c r="S242" i="20"/>
  <c r="S266" i="20"/>
  <c r="S298" i="20"/>
  <c r="P167" i="20"/>
  <c r="P204" i="20"/>
  <c r="P260" i="20"/>
  <c r="P280" i="20"/>
  <c r="P292" i="20"/>
  <c r="P12" i="20"/>
  <c r="S13" i="20"/>
  <c r="P199" i="20"/>
  <c r="P220" i="20"/>
  <c r="P240" i="20"/>
  <c r="S246" i="20"/>
  <c r="P264" i="20"/>
  <c r="P276" i="20"/>
  <c r="S290" i="20"/>
  <c r="P296" i="20"/>
  <c r="S225" i="20"/>
  <c r="P225" i="20"/>
  <c r="S249" i="20"/>
  <c r="P249" i="20"/>
  <c r="S297" i="20"/>
  <c r="P297" i="20"/>
  <c r="P14" i="20"/>
  <c r="P22" i="20"/>
  <c r="P30" i="20"/>
  <c r="P38" i="20"/>
  <c r="P46" i="20"/>
  <c r="P54" i="20"/>
  <c r="P62" i="20"/>
  <c r="S72" i="20"/>
  <c r="S121" i="20"/>
  <c r="P121" i="20"/>
  <c r="S145" i="20"/>
  <c r="P145" i="20"/>
  <c r="S209" i="20"/>
  <c r="P209" i="20"/>
  <c r="S241" i="20"/>
  <c r="P241" i="20"/>
  <c r="S289" i="20"/>
  <c r="P289" i="20"/>
  <c r="S161" i="20"/>
  <c r="P161" i="20"/>
  <c r="P9" i="20"/>
  <c r="P17" i="20"/>
  <c r="S153" i="20"/>
  <c r="P153" i="20"/>
  <c r="P11" i="20"/>
  <c r="P19" i="20"/>
  <c r="S25" i="20"/>
  <c r="P27" i="20"/>
  <c r="S33" i="20"/>
  <c r="P35" i="20"/>
  <c r="S41" i="20"/>
  <c r="P43" i="20"/>
  <c r="S49" i="20"/>
  <c r="P51" i="20"/>
  <c r="S57" i="20"/>
  <c r="P59" i="20"/>
  <c r="S65" i="20"/>
  <c r="P67" i="20"/>
  <c r="S81" i="20"/>
  <c r="P81" i="20"/>
  <c r="S89" i="20"/>
  <c r="P89" i="20"/>
  <c r="S185" i="20"/>
  <c r="P185" i="20"/>
  <c r="S281" i="20"/>
  <c r="P281" i="20"/>
  <c r="P24" i="20"/>
  <c r="P32" i="20"/>
  <c r="P40" i="20"/>
  <c r="P48" i="20"/>
  <c r="S137" i="20"/>
  <c r="P137" i="20"/>
  <c r="S233" i="20"/>
  <c r="P233" i="20"/>
  <c r="S273" i="20"/>
  <c r="P273" i="20"/>
  <c r="S97" i="20"/>
  <c r="P97" i="20"/>
  <c r="P21" i="20"/>
  <c r="P37" i="20"/>
  <c r="P45" i="20"/>
  <c r="P53" i="20"/>
  <c r="P61" i="20"/>
  <c r="P73" i="20"/>
  <c r="S113" i="20"/>
  <c r="P113" i="20"/>
  <c r="S177" i="20"/>
  <c r="P177" i="20"/>
  <c r="S217" i="20"/>
  <c r="P217" i="20"/>
  <c r="S265" i="20"/>
  <c r="P265" i="20"/>
  <c r="S105" i="20"/>
  <c r="P105" i="20"/>
  <c r="P70" i="20"/>
  <c r="S193" i="20"/>
  <c r="P193" i="20"/>
  <c r="S257" i="20"/>
  <c r="P257" i="20"/>
  <c r="S129" i="20"/>
  <c r="P129" i="20"/>
  <c r="S169" i="20"/>
  <c r="P169" i="20"/>
  <c r="S201" i="20"/>
  <c r="P201" i="20"/>
  <c r="S205" i="20"/>
  <c r="P207" i="20"/>
  <c r="S213" i="20"/>
  <c r="P215" i="20"/>
  <c r="S221" i="20"/>
  <c r="P223" i="20"/>
  <c r="S229" i="20"/>
  <c r="P231" i="20"/>
  <c r="S237" i="20"/>
  <c r="S245" i="20"/>
  <c r="S253" i="20"/>
  <c r="S261" i="20"/>
  <c r="S269" i="20"/>
  <c r="S277" i="20"/>
  <c r="S285" i="20"/>
  <c r="S293" i="20"/>
  <c r="P78" i="20"/>
  <c r="P86" i="20"/>
  <c r="P94" i="20"/>
  <c r="P102" i="20"/>
  <c r="P110" i="20"/>
  <c r="P118" i="20"/>
  <c r="P126" i="20"/>
  <c r="P134" i="20"/>
  <c r="P174" i="20"/>
  <c r="P182" i="20"/>
  <c r="P190" i="20"/>
  <c r="P198" i="20"/>
  <c r="P206" i="20"/>
  <c r="P214" i="20"/>
  <c r="P222" i="20"/>
  <c r="P230" i="20"/>
  <c r="P75" i="20"/>
  <c r="P91" i="20"/>
  <c r="P107" i="20"/>
  <c r="P115" i="20"/>
  <c r="P123" i="20"/>
  <c r="P131" i="20"/>
  <c r="P139" i="20"/>
  <c r="P147" i="20"/>
  <c r="P155" i="20"/>
  <c r="P163" i="20"/>
  <c r="P171" i="20"/>
  <c r="P179" i="20"/>
  <c r="P187" i="20"/>
  <c r="P195" i="20"/>
  <c r="P203" i="20"/>
  <c r="P211" i="20"/>
  <c r="P219" i="20"/>
  <c r="P227" i="20"/>
  <c r="P235" i="20"/>
  <c r="P243" i="20"/>
  <c r="P251" i="20"/>
  <c r="P259" i="20"/>
  <c r="P267" i="20"/>
  <c r="P275" i="20"/>
  <c r="P283" i="20"/>
  <c r="P291" i="20"/>
  <c r="P299" i="20"/>
  <c r="P80" i="20"/>
  <c r="P88" i="20"/>
  <c r="P96" i="20"/>
  <c r="P104" i="20"/>
  <c r="P112" i="20"/>
  <c r="P120" i="20"/>
  <c r="P128" i="20"/>
  <c r="P136" i="20"/>
  <c r="P144" i="20"/>
  <c r="P152" i="20"/>
  <c r="P160" i="20"/>
  <c r="P168" i="20"/>
  <c r="P176" i="20"/>
  <c r="P184" i="20"/>
  <c r="P192" i="20"/>
  <c r="P200" i="20"/>
  <c r="P208" i="20"/>
  <c r="P216" i="20"/>
  <c r="P224" i="20"/>
  <c r="M216" i="22" l="1"/>
  <c r="N216" i="22" s="1"/>
  <c r="M261" i="22"/>
  <c r="N261" i="22" s="1"/>
  <c r="O261" i="22"/>
  <c r="M96" i="22"/>
  <c r="N96" i="22" s="1"/>
  <c r="O96" i="22"/>
  <c r="M288" i="22"/>
  <c r="N288" i="22" s="1"/>
  <c r="M115" i="22"/>
  <c r="N115" i="22" s="1"/>
  <c r="M91" i="22"/>
  <c r="N91" i="22" s="1"/>
  <c r="M248" i="22"/>
  <c r="N248" i="22" s="1"/>
  <c r="O248" i="22"/>
  <c r="M245" i="22"/>
  <c r="N245" i="22" s="1"/>
  <c r="M165" i="22"/>
  <c r="N165" i="22" s="1"/>
  <c r="O165" i="22"/>
  <c r="M289" i="22"/>
  <c r="N289" i="22" s="1"/>
  <c r="M111" i="22"/>
  <c r="N111" i="22" s="1"/>
  <c r="O111" i="22"/>
  <c r="M100" i="22"/>
  <c r="N100" i="22" s="1"/>
  <c r="M198" i="22"/>
  <c r="N198" i="22" s="1"/>
  <c r="M113" i="22"/>
  <c r="N113" i="22" s="1"/>
  <c r="O113" i="22"/>
  <c r="M159" i="22"/>
  <c r="N159" i="22" s="1"/>
  <c r="M228" i="22"/>
  <c r="N228" i="22" s="1"/>
  <c r="O228" i="22"/>
  <c r="M13" i="22"/>
  <c r="N13" i="22" s="1"/>
  <c r="M276" i="22"/>
  <c r="N276" i="22" s="1"/>
  <c r="M80" i="22"/>
  <c r="N80" i="22" s="1"/>
  <c r="M59" i="22"/>
  <c r="N59" i="22" s="1"/>
  <c r="M201" i="22"/>
  <c r="N201" i="22" s="1"/>
  <c r="M52" i="22"/>
  <c r="N52" i="22" s="1"/>
  <c r="M32" i="22"/>
  <c r="N32" i="22" s="1"/>
  <c r="O32" i="22"/>
  <c r="M178" i="22"/>
  <c r="N178" i="22" s="1"/>
  <c r="O178" i="22"/>
  <c r="M290" i="22"/>
  <c r="N290" i="22" s="1"/>
  <c r="O290" i="22"/>
  <c r="M284" i="22"/>
  <c r="N284" i="22" s="1"/>
  <c r="M220" i="22"/>
  <c r="N220" i="22" s="1"/>
  <c r="M144" i="22"/>
  <c r="N144" i="22" s="1"/>
  <c r="O144" i="22"/>
  <c r="M77" i="22"/>
  <c r="N77" i="22" s="1"/>
  <c r="M293" i="22"/>
  <c r="N293" i="22" s="1"/>
  <c r="M191" i="22"/>
  <c r="N191" i="22" s="1"/>
  <c r="O191" i="22"/>
  <c r="M98" i="22"/>
  <c r="N98" i="22" s="1"/>
  <c r="M23" i="22"/>
  <c r="N23" i="22" s="1"/>
  <c r="M128" i="22"/>
  <c r="N128" i="22" s="1"/>
  <c r="M57" i="22"/>
  <c r="N57" i="22" s="1"/>
  <c r="M264" i="22"/>
  <c r="N264" i="22" s="1"/>
  <c r="M154" i="22"/>
  <c r="N154" i="22" s="1"/>
  <c r="M87" i="22"/>
  <c r="N87" i="22" s="1"/>
  <c r="M79" i="22"/>
  <c r="N79" i="22" s="1"/>
  <c r="O79" i="22"/>
  <c r="M231" i="22"/>
  <c r="N231" i="22" s="1"/>
  <c r="M232" i="22"/>
  <c r="N232" i="22" s="1"/>
  <c r="M152" i="22"/>
  <c r="N152" i="22" s="1"/>
  <c r="M72" i="22"/>
  <c r="N72" i="22" s="1"/>
  <c r="M285" i="22"/>
  <c r="N285" i="22" s="1"/>
  <c r="O285" i="22"/>
  <c r="M147" i="22"/>
  <c r="N147" i="22" s="1"/>
  <c r="M273" i="22"/>
  <c r="N273" i="22" s="1"/>
  <c r="M66" i="22"/>
  <c r="N66" i="22" s="1"/>
  <c r="M21" i="22"/>
  <c r="N21" i="22" s="1"/>
  <c r="M84" i="22"/>
  <c r="N84" i="22" s="1"/>
  <c r="M243" i="22"/>
  <c r="N243" i="22" s="1"/>
  <c r="M109" i="22"/>
  <c r="N109" i="22" s="1"/>
  <c r="O109" i="22"/>
  <c r="M70" i="22"/>
  <c r="N70" i="22" s="1"/>
  <c r="M49" i="22"/>
  <c r="N49" i="22" s="1"/>
  <c r="M303" i="22"/>
  <c r="N303" i="22" s="1"/>
  <c r="M184" i="22"/>
  <c r="N184" i="22" s="1"/>
  <c r="O184" i="22"/>
  <c r="M68" i="22"/>
  <c r="N68" i="22" s="1"/>
  <c r="O68" i="22"/>
  <c r="M140" i="22"/>
  <c r="N140" i="22" s="1"/>
  <c r="M197" i="22"/>
  <c r="N197" i="22" s="1"/>
  <c r="M20" i="22"/>
  <c r="N20" i="22" s="1"/>
  <c r="M92" i="22"/>
  <c r="N92" i="22" s="1"/>
  <c r="O92" i="22"/>
  <c r="M239" i="22"/>
  <c r="N239" i="22" s="1"/>
  <c r="M102" i="22"/>
  <c r="N102" i="22" s="1"/>
  <c r="M65" i="22"/>
  <c r="N65" i="22" s="1"/>
  <c r="O65" i="22"/>
  <c r="M249" i="22"/>
  <c r="N249" i="22" s="1"/>
  <c r="M163" i="22"/>
  <c r="N163" i="22" s="1"/>
  <c r="M108" i="22"/>
  <c r="N108" i="22" s="1"/>
  <c r="M244" i="22"/>
  <c r="N244" i="22" s="1"/>
  <c r="O244" i="22"/>
  <c r="M141" i="22"/>
  <c r="N141" i="22" s="1"/>
  <c r="O141" i="22"/>
  <c r="M157" i="22"/>
  <c r="N157" i="22" s="1"/>
  <c r="M183" i="22"/>
  <c r="N183" i="22" s="1"/>
  <c r="M278" i="22"/>
  <c r="N278" i="22" s="1"/>
  <c r="M226" i="22"/>
  <c r="N226" i="22" s="1"/>
  <c r="O226" i="22"/>
  <c r="M64" i="22"/>
  <c r="N64" i="22" s="1"/>
  <c r="M174" i="22"/>
  <c r="N174" i="22" s="1"/>
  <c r="M124" i="22"/>
  <c r="N124" i="22" s="1"/>
  <c r="M217" i="22"/>
  <c r="N217" i="22" s="1"/>
  <c r="O217" i="22"/>
  <c r="M54" i="22"/>
  <c r="N54" i="22" s="1"/>
  <c r="M139" i="22"/>
  <c r="N139" i="22" s="1"/>
  <c r="M143" i="22"/>
  <c r="N143" i="22" s="1"/>
  <c r="O143" i="22"/>
  <c r="M62" i="22"/>
  <c r="N62" i="22" s="1"/>
  <c r="M227" i="22"/>
  <c r="N227" i="22" s="1"/>
  <c r="M292" i="22"/>
  <c r="N292" i="22" s="1"/>
  <c r="M176" i="22"/>
  <c r="N176" i="22" s="1"/>
  <c r="M44" i="22"/>
  <c r="N44" i="22" s="1"/>
  <c r="M110" i="22"/>
  <c r="N110" i="22" s="1"/>
  <c r="M94" i="22"/>
  <c r="N94" i="22" s="1"/>
  <c r="M271" i="22"/>
  <c r="N271" i="22" s="1"/>
  <c r="M203" i="22"/>
  <c r="N203" i="22" s="1"/>
  <c r="M127" i="22"/>
  <c r="N127" i="22" s="1"/>
  <c r="M60" i="22"/>
  <c r="N60" i="22" s="1"/>
  <c r="M263" i="22"/>
  <c r="N263" i="22" s="1"/>
  <c r="M170" i="22"/>
  <c r="N170" i="22" s="1"/>
  <c r="O170" i="22"/>
  <c r="M73" i="22"/>
  <c r="N73" i="22" s="1"/>
  <c r="M272" i="22"/>
  <c r="N272" i="22" s="1"/>
  <c r="M120" i="22"/>
  <c r="N120" i="22" s="1"/>
  <c r="O120" i="22"/>
  <c r="M40" i="22"/>
  <c r="N40" i="22" s="1"/>
  <c r="M213" i="22"/>
  <c r="N213" i="22" s="1"/>
  <c r="M137" i="22"/>
  <c r="N137" i="22" s="1"/>
  <c r="M24" i="22"/>
  <c r="N24" i="22" s="1"/>
  <c r="M41" i="22"/>
  <c r="N41" i="22" s="1"/>
  <c r="M194" i="22"/>
  <c r="N194" i="22" s="1"/>
  <c r="M135" i="22"/>
  <c r="N135" i="22" s="1"/>
  <c r="M47" i="22"/>
  <c r="N47" i="22" s="1"/>
  <c r="O47" i="22"/>
  <c r="M252" i="22"/>
  <c r="M130" i="22"/>
  <c r="N130" i="22" s="1"/>
  <c r="M204" i="22"/>
  <c r="N204" i="22" s="1"/>
  <c r="M299" i="22"/>
  <c r="N299" i="22" s="1"/>
  <c r="M234" i="22"/>
  <c r="N234" i="22" s="1"/>
  <c r="O234" i="22"/>
  <c r="M251" i="22"/>
  <c r="N251" i="22" s="1"/>
  <c r="M223" i="22"/>
  <c r="N223" i="22" s="1"/>
  <c r="M101" i="22"/>
  <c r="N101" i="22" s="1"/>
  <c r="M207" i="22"/>
  <c r="N207" i="22" s="1"/>
  <c r="O207" i="22"/>
  <c r="M274" i="22"/>
  <c r="N274" i="22" s="1"/>
  <c r="M291" i="22"/>
  <c r="N291" i="22" s="1"/>
  <c r="O291" i="22"/>
  <c r="M172" i="22"/>
  <c r="N172" i="22" s="1"/>
  <c r="M134" i="22"/>
  <c r="N134" i="22" s="1"/>
  <c r="M253" i="22"/>
  <c r="N253" i="22" s="1"/>
  <c r="M189" i="22"/>
  <c r="N189" i="22" s="1"/>
  <c r="O189" i="22"/>
  <c r="M12" i="22"/>
  <c r="O12" i="22"/>
  <c r="M301" i="22"/>
  <c r="N301" i="22" s="1"/>
  <c r="M14" i="22"/>
  <c r="N14" i="22" s="1"/>
  <c r="M31" i="22"/>
  <c r="N31" i="22" s="1"/>
  <c r="M281" i="22"/>
  <c r="N281" i="22" s="1"/>
  <c r="M104" i="22"/>
  <c r="N104" i="22" s="1"/>
  <c r="O104" i="22"/>
  <c r="M169" i="22"/>
  <c r="N169" i="22" s="1"/>
  <c r="M282" i="22"/>
  <c r="N282" i="22" s="1"/>
  <c r="O282" i="22"/>
  <c r="M202" i="22"/>
  <c r="N202" i="22" s="1"/>
  <c r="M17" i="22"/>
  <c r="N17" i="22" s="1"/>
  <c r="O17" i="22"/>
  <c r="M88" i="22"/>
  <c r="N88" i="22" s="1"/>
  <c r="M167" i="22"/>
  <c r="N167" i="22" s="1"/>
  <c r="M224" i="22"/>
  <c r="N224" i="22" s="1"/>
  <c r="O224" i="22"/>
  <c r="M195" i="22"/>
  <c r="N195" i="22" s="1"/>
  <c r="M27" i="22"/>
  <c r="N27" i="22" s="1"/>
  <c r="M171" i="22"/>
  <c r="N171" i="22" s="1"/>
  <c r="M83" i="22"/>
  <c r="N83" i="22" s="1"/>
  <c r="O83" i="22"/>
  <c r="M29" i="22"/>
  <c r="N29" i="22" s="1"/>
  <c r="O29" i="22"/>
  <c r="M146" i="22"/>
  <c r="N146" i="22" s="1"/>
  <c r="M131" i="22"/>
  <c r="N131" i="22" s="1"/>
  <c r="M302" i="22"/>
  <c r="N302" i="22" s="1"/>
  <c r="M215" i="22"/>
  <c r="N215" i="22" s="1"/>
  <c r="O215" i="22"/>
  <c r="M257" i="22"/>
  <c r="N257" i="22" s="1"/>
  <c r="M50" i="22"/>
  <c r="N50" i="22" s="1"/>
  <c r="M199" i="22"/>
  <c r="N199" i="22" s="1"/>
  <c r="M246" i="22"/>
  <c r="N246" i="22" s="1"/>
  <c r="M268" i="22"/>
  <c r="N268" i="22" s="1"/>
  <c r="M19" i="22"/>
  <c r="N19" i="22" s="1"/>
  <c r="M133" i="22"/>
  <c r="N133" i="22" s="1"/>
  <c r="M142" i="22"/>
  <c r="N142" i="22" s="1"/>
  <c r="M37" i="22"/>
  <c r="N37" i="22" s="1"/>
  <c r="M296" i="22"/>
  <c r="N296" i="22" s="1"/>
  <c r="M190" i="22"/>
  <c r="N190" i="22" s="1"/>
  <c r="M34" i="22"/>
  <c r="N34" i="22" s="1"/>
  <c r="M126" i="22"/>
  <c r="N126" i="22" s="1"/>
  <c r="M200" i="22"/>
  <c r="N200" i="22" s="1"/>
  <c r="O200" i="22"/>
  <c r="M286" i="22"/>
  <c r="N286" i="22" s="1"/>
  <c r="O286" i="22"/>
  <c r="M230" i="22"/>
  <c r="N230" i="22" s="1"/>
  <c r="M235" i="22"/>
  <c r="N235" i="22" s="1"/>
  <c r="M162" i="22"/>
  <c r="N162" i="22" s="1"/>
  <c r="O162" i="22"/>
  <c r="M155" i="22"/>
  <c r="N155" i="22" s="1"/>
  <c r="O155" i="22"/>
  <c r="M242" i="22"/>
  <c r="N242" i="22" s="1"/>
  <c r="O242" i="22"/>
  <c r="M287" i="22"/>
  <c r="N287" i="22" s="1"/>
  <c r="M168" i="22"/>
  <c r="N168" i="22" s="1"/>
  <c r="M74" i="22"/>
  <c r="N74" i="22" s="1"/>
  <c r="O74" i="22"/>
  <c r="M225" i="22"/>
  <c r="N225" i="22" s="1"/>
  <c r="O225" i="22"/>
  <c r="M185" i="22"/>
  <c r="N185" i="22" s="1"/>
  <c r="M304" i="22"/>
  <c r="N304" i="22" s="1"/>
  <c r="M238" i="22"/>
  <c r="N238" i="22" s="1"/>
  <c r="M237" i="22"/>
  <c r="N237" i="22" s="1"/>
  <c r="O237" i="22"/>
  <c r="M136" i="22"/>
  <c r="N136" i="22" s="1"/>
  <c r="M175" i="22"/>
  <c r="N175" i="22" s="1"/>
  <c r="O175" i="22"/>
  <c r="M298" i="22"/>
  <c r="N298" i="22" s="1"/>
  <c r="M33" i="22"/>
  <c r="N33" i="22" s="1"/>
  <c r="M187" i="22"/>
  <c r="N187" i="22" s="1"/>
  <c r="M63" i="22"/>
  <c r="N63" i="22" s="1"/>
  <c r="O63" i="22"/>
  <c r="M210" i="22"/>
  <c r="N210" i="22" s="1"/>
  <c r="M81" i="22"/>
  <c r="N81" i="22" s="1"/>
  <c r="O81" i="22"/>
  <c r="M61" i="22"/>
  <c r="N61" i="22" s="1"/>
  <c r="M85" i="22"/>
  <c r="N85" i="22" s="1"/>
  <c r="M211" i="22"/>
  <c r="N211" i="22" s="1"/>
  <c r="O211" i="22"/>
  <c r="M150" i="22"/>
  <c r="N150" i="22" s="1"/>
  <c r="M214" i="22"/>
  <c r="N214" i="22" s="1"/>
  <c r="M256" i="22"/>
  <c r="N256" i="22" s="1"/>
  <c r="M250" i="22"/>
  <c r="N250" i="22" s="1"/>
  <c r="M45" i="22"/>
  <c r="N45" i="22" s="1"/>
  <c r="M193" i="22"/>
  <c r="N193" i="22" s="1"/>
  <c r="M258" i="22"/>
  <c r="N258" i="22" s="1"/>
  <c r="O258" i="22"/>
  <c r="M56" i="22"/>
  <c r="N56" i="22" s="1"/>
  <c r="M69" i="22"/>
  <c r="N69" i="22" s="1"/>
  <c r="M192" i="22"/>
  <c r="N192" i="22" s="1"/>
  <c r="M240" i="22"/>
  <c r="N240" i="22" s="1"/>
  <c r="M270" i="22"/>
  <c r="N270" i="22" s="1"/>
  <c r="O270" i="22"/>
  <c r="M46" i="22"/>
  <c r="N46" i="22" s="1"/>
  <c r="O46" i="22"/>
  <c r="M58" i="22"/>
  <c r="N58" i="22" s="1"/>
  <c r="M254" i="22"/>
  <c r="N254" i="22" s="1"/>
  <c r="M186" i="22"/>
  <c r="N186" i="22" s="1"/>
  <c r="M119" i="22"/>
  <c r="N119" i="22" s="1"/>
  <c r="O119" i="22"/>
  <c r="M43" i="22"/>
  <c r="N43" i="22" s="1"/>
  <c r="M233" i="22"/>
  <c r="N233" i="22" s="1"/>
  <c r="M153" i="22"/>
  <c r="N153" i="22" s="1"/>
  <c r="O153" i="22"/>
  <c r="M48" i="22"/>
  <c r="N48" i="22" s="1"/>
  <c r="M259" i="22"/>
  <c r="N259" i="22" s="1"/>
  <c r="M103" i="22"/>
  <c r="N103" i="22" s="1"/>
  <c r="M15" i="22"/>
  <c r="N15" i="22" s="1"/>
  <c r="M188" i="22"/>
  <c r="N188" i="22" s="1"/>
  <c r="O188" i="22"/>
  <c r="M112" i="22"/>
  <c r="N112" i="22" s="1"/>
  <c r="M121" i="22"/>
  <c r="N121" i="22" s="1"/>
  <c r="M16" i="22"/>
  <c r="N16" i="22" s="1"/>
  <c r="M266" i="22"/>
  <c r="N266" i="22" s="1"/>
  <c r="O266" i="22"/>
  <c r="M177" i="22"/>
  <c r="N177" i="22" s="1"/>
  <c r="M97" i="22"/>
  <c r="N97" i="22" s="1"/>
  <c r="O97" i="22"/>
  <c r="M30" i="22"/>
  <c r="N30" i="22" s="1"/>
  <c r="M236" i="22"/>
  <c r="N236" i="22" s="1"/>
  <c r="M122" i="22"/>
  <c r="N122" i="22" s="1"/>
  <c r="M180" i="22"/>
  <c r="N180" i="22" s="1"/>
  <c r="M75" i="22"/>
  <c r="N75" i="22" s="1"/>
  <c r="O75" i="22"/>
  <c r="M218" i="22"/>
  <c r="N218" i="22" s="1"/>
  <c r="M219" i="22"/>
  <c r="N219" i="22" s="1"/>
  <c r="M158" i="22"/>
  <c r="N158" i="22" s="1"/>
  <c r="M283" i="22"/>
  <c r="N283" i="22" s="1"/>
  <c r="M212" i="22"/>
  <c r="N212" i="22" s="1"/>
  <c r="O212" i="22"/>
  <c r="M222" i="22"/>
  <c r="N222" i="22" s="1"/>
  <c r="M42" i="22"/>
  <c r="N42" i="22" s="1"/>
  <c r="O42" i="22"/>
  <c r="M160" i="22"/>
  <c r="N160" i="22" s="1"/>
  <c r="M55" i="22"/>
  <c r="N55" i="22" s="1"/>
  <c r="O55" i="22"/>
  <c r="M221" i="22"/>
  <c r="N221" i="22" s="1"/>
  <c r="M181" i="22"/>
  <c r="N181" i="22" s="1"/>
  <c r="M36" i="22"/>
  <c r="N36" i="22" s="1"/>
  <c r="O36" i="22"/>
  <c r="M161" i="22"/>
  <c r="N161" i="22" s="1"/>
  <c r="M208" i="22"/>
  <c r="N208" i="22" s="1"/>
  <c r="M95" i="22"/>
  <c r="N95" i="22" s="1"/>
  <c r="M89" i="22"/>
  <c r="N89" i="22" s="1"/>
  <c r="O89" i="22"/>
  <c r="M148" i="22"/>
  <c r="N148" i="22" s="1"/>
  <c r="O148" i="22"/>
  <c r="M125" i="22"/>
  <c r="N125" i="22" s="1"/>
  <c r="M300" i="22"/>
  <c r="N300" i="22" s="1"/>
  <c r="M205" i="22"/>
  <c r="N205" i="22" s="1"/>
  <c r="M297" i="22"/>
  <c r="N297" i="22" s="1"/>
  <c r="O297" i="22"/>
  <c r="M277" i="22"/>
  <c r="N277" i="22" s="1"/>
  <c r="M151" i="22"/>
  <c r="N151" i="22" s="1"/>
  <c r="M275" i="22"/>
  <c r="N275" i="22" s="1"/>
  <c r="M280" i="22"/>
  <c r="N280" i="22" s="1"/>
  <c r="M90" i="22"/>
  <c r="N90" i="22" s="1"/>
  <c r="M53" i="22"/>
  <c r="N53" i="22" s="1"/>
  <c r="O53" i="22"/>
  <c r="M28" i="22"/>
  <c r="N28" i="22" s="1"/>
  <c r="M51" i="22"/>
  <c r="N51" i="22" s="1"/>
  <c r="M269" i="22"/>
  <c r="N269" i="22" s="1"/>
  <c r="M76" i="22"/>
  <c r="N76" i="22" s="1"/>
  <c r="M105" i="22"/>
  <c r="N105" i="22" s="1"/>
  <c r="O105" i="22"/>
  <c r="M295" i="22"/>
  <c r="N295" i="22" s="1"/>
  <c r="M138" i="22"/>
  <c r="N138" i="22" s="1"/>
  <c r="M132" i="22"/>
  <c r="N132" i="22" s="1"/>
  <c r="M279" i="22"/>
  <c r="N279" i="22" s="1"/>
  <c r="O279" i="22"/>
  <c r="M86" i="22"/>
  <c r="N86" i="22" s="1"/>
  <c r="M123" i="22"/>
  <c r="N123" i="22" s="1"/>
  <c r="M166" i="22"/>
  <c r="N166" i="22" s="1"/>
  <c r="O166" i="22"/>
  <c r="M107" i="22"/>
  <c r="N107" i="22" s="1"/>
  <c r="O107" i="22"/>
  <c r="M114" i="22"/>
  <c r="N114" i="22" s="1"/>
  <c r="M247" i="22"/>
  <c r="N247" i="22" s="1"/>
  <c r="M18" i="22"/>
  <c r="N18" i="22" s="1"/>
  <c r="M22" i="22"/>
  <c r="N22" i="22" s="1"/>
  <c r="O22" i="22"/>
  <c r="M241" i="22"/>
  <c r="N241" i="22" s="1"/>
  <c r="O241" i="22"/>
  <c r="M182" i="22"/>
  <c r="N182" i="22" s="1"/>
  <c r="M106" i="22"/>
  <c r="N106" i="22" s="1"/>
  <c r="M39" i="22"/>
  <c r="N39" i="22" s="1"/>
  <c r="O39" i="22"/>
  <c r="M229" i="22"/>
  <c r="N229" i="22" s="1"/>
  <c r="O229" i="22"/>
  <c r="M149" i="22"/>
  <c r="N149" i="22" s="1"/>
  <c r="M35" i="22"/>
  <c r="N35" i="22" s="1"/>
  <c r="O35" i="22"/>
  <c r="M255" i="22"/>
  <c r="N255" i="22" s="1"/>
  <c r="M78" i="22"/>
  <c r="N78" i="22" s="1"/>
  <c r="O78" i="22"/>
  <c r="M294" i="22"/>
  <c r="N294" i="22" s="1"/>
  <c r="M179" i="22"/>
  <c r="N179" i="22" s="1"/>
  <c r="M99" i="22"/>
  <c r="N99" i="22" s="1"/>
  <c r="M117" i="22"/>
  <c r="N117" i="22" s="1"/>
  <c r="O117" i="22"/>
  <c r="M265" i="22"/>
  <c r="N265" i="22" s="1"/>
  <c r="M262" i="22"/>
  <c r="N262" i="22" s="1"/>
  <c r="M173" i="22"/>
  <c r="N173" i="22" s="1"/>
  <c r="M93" i="22"/>
  <c r="N93" i="22" s="1"/>
  <c r="M26" i="22"/>
  <c r="N26" i="22" s="1"/>
  <c r="M196" i="22"/>
  <c r="N196" i="22" s="1"/>
  <c r="O196" i="22"/>
  <c r="M82" i="22"/>
  <c r="N82" i="22" s="1"/>
  <c r="M164" i="22"/>
  <c r="N164" i="22" s="1"/>
  <c r="M71" i="22"/>
  <c r="N71" i="22" s="1"/>
  <c r="M116" i="22"/>
  <c r="N116" i="22" s="1"/>
  <c r="O116" i="22"/>
  <c r="M206" i="22"/>
  <c r="N206" i="22" s="1"/>
  <c r="O206" i="22"/>
  <c r="M129" i="22"/>
  <c r="N129" i="22" s="1"/>
  <c r="M267" i="22"/>
  <c r="N267" i="22" s="1"/>
  <c r="M260" i="22"/>
  <c r="N260" i="22" s="1"/>
  <c r="M25" i="22"/>
  <c r="N25" i="22" s="1"/>
  <c r="O25" i="22"/>
  <c r="M38" i="22"/>
  <c r="N38" i="22" s="1"/>
  <c r="O38" i="22"/>
  <c r="M156" i="22"/>
  <c r="N156" i="22" s="1"/>
  <c r="M67" i="22"/>
  <c r="N67" i="22" s="1"/>
  <c r="M209" i="22"/>
  <c r="N209" i="22" s="1"/>
  <c r="M145" i="22"/>
  <c r="N145" i="22" s="1"/>
  <c r="O145" i="22"/>
  <c r="M118" i="22"/>
  <c r="N118" i="22" s="1"/>
  <c r="J11" i="22"/>
  <c r="S6" i="20"/>
  <c r="T299" i="20" s="1"/>
  <c r="U299" i="20" s="1"/>
  <c r="T267" i="20"/>
  <c r="U267" i="20" s="1"/>
  <c r="T259" i="20"/>
  <c r="U259" i="20" s="1"/>
  <c r="T251" i="20"/>
  <c r="U251" i="20" s="1"/>
  <c r="T243" i="20"/>
  <c r="U243" i="20" s="1"/>
  <c r="T235" i="20"/>
  <c r="U235" i="20" s="1"/>
  <c r="T219" i="20"/>
  <c r="U219" i="20" s="1"/>
  <c r="T203" i="20"/>
  <c r="U203" i="20" s="1"/>
  <c r="T195" i="20"/>
  <c r="U195" i="20" s="1"/>
  <c r="T187" i="20"/>
  <c r="U187" i="20" s="1"/>
  <c r="T179" i="20"/>
  <c r="U179" i="20" s="1"/>
  <c r="T171" i="20"/>
  <c r="U171" i="20" s="1"/>
  <c r="T155" i="20"/>
  <c r="U155" i="20" s="1"/>
  <c r="T147" i="20"/>
  <c r="U147" i="20" s="1"/>
  <c r="T139" i="20"/>
  <c r="U139" i="20" s="1"/>
  <c r="T131" i="20"/>
  <c r="U131" i="20" s="1"/>
  <c r="T123" i="20"/>
  <c r="U123" i="20" s="1"/>
  <c r="T115" i="20"/>
  <c r="U115" i="20" s="1"/>
  <c r="T107" i="20"/>
  <c r="U107" i="20" s="1"/>
  <c r="T91" i="20"/>
  <c r="U91" i="20" s="1"/>
  <c r="T83" i="20"/>
  <c r="U83" i="20" s="1"/>
  <c r="T75" i="20"/>
  <c r="U75" i="20" s="1"/>
  <c r="T294" i="20"/>
  <c r="U294" i="20" s="1"/>
  <c r="T286" i="20"/>
  <c r="U286" i="20" s="1"/>
  <c r="T278" i="20"/>
  <c r="U278" i="20" s="1"/>
  <c r="T270" i="20"/>
  <c r="U270" i="20" s="1"/>
  <c r="T254" i="20"/>
  <c r="U254" i="20" s="1"/>
  <c r="T246" i="20"/>
  <c r="U246" i="20" s="1"/>
  <c r="T238" i="20"/>
  <c r="U238" i="20" s="1"/>
  <c r="T230" i="20"/>
  <c r="U230" i="20" s="1"/>
  <c r="T222" i="20"/>
  <c r="U222" i="20" s="1"/>
  <c r="T214" i="20"/>
  <c r="U214" i="20" s="1"/>
  <c r="T206" i="20"/>
  <c r="U206" i="20" s="1"/>
  <c r="T190" i="20"/>
  <c r="U190" i="20" s="1"/>
  <c r="T182" i="20"/>
  <c r="U182" i="20" s="1"/>
  <c r="T174" i="20"/>
  <c r="U174" i="20" s="1"/>
  <c r="T166" i="20"/>
  <c r="U166" i="20" s="1"/>
  <c r="T158" i="20"/>
  <c r="U158" i="20" s="1"/>
  <c r="T150" i="20"/>
  <c r="U150" i="20" s="1"/>
  <c r="T142" i="20"/>
  <c r="U142" i="20" s="1"/>
  <c r="T126" i="20"/>
  <c r="U126" i="20" s="1"/>
  <c r="T118" i="20"/>
  <c r="U118" i="20" s="1"/>
  <c r="T110" i="20"/>
  <c r="U110" i="20" s="1"/>
  <c r="T102" i="20"/>
  <c r="U102" i="20" s="1"/>
  <c r="T94" i="20"/>
  <c r="U94" i="20" s="1"/>
  <c r="T86" i="20"/>
  <c r="U86" i="20" s="1"/>
  <c r="T78" i="20"/>
  <c r="U78" i="20" s="1"/>
  <c r="T297" i="20"/>
  <c r="U297" i="20" s="1"/>
  <c r="T289" i="20"/>
  <c r="U289" i="20" s="1"/>
  <c r="T281" i="20"/>
  <c r="U281" i="20" s="1"/>
  <c r="T273" i="20"/>
  <c r="U273" i="20" s="1"/>
  <c r="T265" i="20"/>
  <c r="U265" i="20" s="1"/>
  <c r="T257" i="20"/>
  <c r="U257" i="20" s="1"/>
  <c r="T249" i="20"/>
  <c r="U249" i="20" s="1"/>
  <c r="T233" i="20"/>
  <c r="U233" i="20" s="1"/>
  <c r="T225" i="20"/>
  <c r="U225" i="20" s="1"/>
  <c r="T217" i="20"/>
  <c r="U217" i="20" s="1"/>
  <c r="T209" i="20"/>
  <c r="U209" i="20" s="1"/>
  <c r="T201" i="20"/>
  <c r="U201" i="20" s="1"/>
  <c r="T193" i="20"/>
  <c r="U193" i="20" s="1"/>
  <c r="T185" i="20"/>
  <c r="U185" i="20" s="1"/>
  <c r="T169" i="20"/>
  <c r="U169" i="20" s="1"/>
  <c r="T161" i="20"/>
  <c r="U161" i="20" s="1"/>
  <c r="T153" i="20"/>
  <c r="U153" i="20" s="1"/>
  <c r="T145" i="20"/>
  <c r="U145" i="20" s="1"/>
  <c r="T137" i="20"/>
  <c r="U137" i="20" s="1"/>
  <c r="T129" i="20"/>
  <c r="U129" i="20" s="1"/>
  <c r="T121" i="20"/>
  <c r="U121" i="20" s="1"/>
  <c r="T105" i="20"/>
  <c r="U105" i="20" s="1"/>
  <c r="T97" i="20"/>
  <c r="U97" i="20" s="1"/>
  <c r="T89" i="20"/>
  <c r="U89" i="20" s="1"/>
  <c r="T81" i="20"/>
  <c r="U81" i="20" s="1"/>
  <c r="T73" i="20"/>
  <c r="U73" i="20" s="1"/>
  <c r="T292" i="20"/>
  <c r="U292" i="20" s="1"/>
  <c r="T284" i="20"/>
  <c r="U284" i="20" s="1"/>
  <c r="T268" i="20"/>
  <c r="U268" i="20" s="1"/>
  <c r="T260" i="20"/>
  <c r="U260" i="20" s="1"/>
  <c r="T252" i="20"/>
  <c r="U252" i="20" s="1"/>
  <c r="T244" i="20"/>
  <c r="U244" i="20" s="1"/>
  <c r="T236" i="20"/>
  <c r="U236" i="20" s="1"/>
  <c r="T228" i="20"/>
  <c r="U228" i="20" s="1"/>
  <c r="T220" i="20"/>
  <c r="U220" i="20" s="1"/>
  <c r="T204" i="20"/>
  <c r="U204" i="20" s="1"/>
  <c r="T196" i="20"/>
  <c r="U196" i="20" s="1"/>
  <c r="T188" i="20"/>
  <c r="U188" i="20" s="1"/>
  <c r="T180" i="20"/>
  <c r="U180" i="20" s="1"/>
  <c r="T172" i="20"/>
  <c r="U172" i="20" s="1"/>
  <c r="T164" i="20"/>
  <c r="U164" i="20" s="1"/>
  <c r="T156" i="20"/>
  <c r="U156" i="20" s="1"/>
  <c r="T140" i="20"/>
  <c r="U140" i="20" s="1"/>
  <c r="T132" i="20"/>
  <c r="U132" i="20" s="1"/>
  <c r="T124" i="20"/>
  <c r="U124" i="20" s="1"/>
  <c r="T116" i="20"/>
  <c r="U116" i="20" s="1"/>
  <c r="T108" i="20"/>
  <c r="U108" i="20" s="1"/>
  <c r="T100" i="20"/>
  <c r="U100" i="20" s="1"/>
  <c r="T92" i="20"/>
  <c r="U92" i="20" s="1"/>
  <c r="T76" i="20"/>
  <c r="U76" i="20" s="1"/>
  <c r="T295" i="20"/>
  <c r="U295" i="20" s="1"/>
  <c r="T287" i="20"/>
  <c r="U287" i="20" s="1"/>
  <c r="T279" i="20"/>
  <c r="U279" i="20" s="1"/>
  <c r="T271" i="20"/>
  <c r="U271" i="20" s="1"/>
  <c r="T263" i="20"/>
  <c r="U263" i="20" s="1"/>
  <c r="T255" i="20"/>
  <c r="U255" i="20" s="1"/>
  <c r="T239" i="20"/>
  <c r="U239" i="20" s="1"/>
  <c r="T231" i="20"/>
  <c r="U231" i="20" s="1"/>
  <c r="T223" i="20"/>
  <c r="U223" i="20" s="1"/>
  <c r="T215" i="20"/>
  <c r="U215" i="20" s="1"/>
  <c r="T207" i="20"/>
  <c r="U207" i="20" s="1"/>
  <c r="T199" i="20"/>
  <c r="U199" i="20" s="1"/>
  <c r="T191" i="20"/>
  <c r="U191" i="20" s="1"/>
  <c r="T175" i="20"/>
  <c r="U175" i="20" s="1"/>
  <c r="T167" i="20"/>
  <c r="U167" i="20" s="1"/>
  <c r="T159" i="20"/>
  <c r="U159" i="20" s="1"/>
  <c r="T151" i="20"/>
  <c r="U151" i="20" s="1"/>
  <c r="T143" i="20"/>
  <c r="U143" i="20" s="1"/>
  <c r="T135" i="20"/>
  <c r="U135" i="20" s="1"/>
  <c r="T127" i="20"/>
  <c r="U127" i="20" s="1"/>
  <c r="T111" i="20"/>
  <c r="U111" i="20" s="1"/>
  <c r="T103" i="20"/>
  <c r="U103" i="20" s="1"/>
  <c r="T95" i="20"/>
  <c r="U95" i="20" s="1"/>
  <c r="T87" i="20"/>
  <c r="U87" i="20" s="1"/>
  <c r="T79" i="20"/>
  <c r="U79" i="20" s="1"/>
  <c r="T298" i="20"/>
  <c r="U298" i="20" s="1"/>
  <c r="T290" i="20"/>
  <c r="U290" i="20" s="1"/>
  <c r="T274" i="20"/>
  <c r="U274" i="20" s="1"/>
  <c r="T266" i="20"/>
  <c r="U266" i="20" s="1"/>
  <c r="T258" i="20"/>
  <c r="U258" i="20" s="1"/>
  <c r="T250" i="20"/>
  <c r="U250" i="20" s="1"/>
  <c r="T242" i="20"/>
  <c r="U242" i="20" s="1"/>
  <c r="T234" i="20"/>
  <c r="U234" i="20" s="1"/>
  <c r="T226" i="20"/>
  <c r="U226" i="20" s="1"/>
  <c r="T210" i="20"/>
  <c r="U210" i="20" s="1"/>
  <c r="T202" i="20"/>
  <c r="U202" i="20" s="1"/>
  <c r="T194" i="20"/>
  <c r="U194" i="20" s="1"/>
  <c r="T186" i="20"/>
  <c r="U186" i="20" s="1"/>
  <c r="T178" i="20"/>
  <c r="U178" i="20" s="1"/>
  <c r="T170" i="20"/>
  <c r="U170" i="20" s="1"/>
  <c r="T162" i="20"/>
  <c r="U162" i="20" s="1"/>
  <c r="T154" i="20"/>
  <c r="U154" i="20" s="1"/>
  <c r="T146" i="20"/>
  <c r="U146" i="20" s="1"/>
  <c r="T138" i="20"/>
  <c r="U138" i="20" s="1"/>
  <c r="T130" i="20"/>
  <c r="U130" i="20" s="1"/>
  <c r="T122" i="20"/>
  <c r="U122" i="20" s="1"/>
  <c r="T114" i="20"/>
  <c r="U114" i="20" s="1"/>
  <c r="T106" i="20"/>
  <c r="U106" i="20" s="1"/>
  <c r="T98" i="20"/>
  <c r="U98" i="20" s="1"/>
  <c r="T90" i="20"/>
  <c r="U90" i="20" s="1"/>
  <c r="T82" i="20"/>
  <c r="U82" i="20" s="1"/>
  <c r="T74" i="20"/>
  <c r="U74" i="20" s="1"/>
  <c r="T296" i="20"/>
  <c r="U296" i="20" s="1"/>
  <c r="T288" i="20"/>
  <c r="U288" i="20" s="1"/>
  <c r="T280" i="20"/>
  <c r="U280" i="20" s="1"/>
  <c r="T272" i="20"/>
  <c r="U272" i="20" s="1"/>
  <c r="T264" i="20"/>
  <c r="U264" i="20" s="1"/>
  <c r="T256" i="20"/>
  <c r="U256" i="20" s="1"/>
  <c r="T248" i="20"/>
  <c r="U248" i="20" s="1"/>
  <c r="T240" i="20"/>
  <c r="U240" i="20" s="1"/>
  <c r="T232" i="20"/>
  <c r="U232" i="20" s="1"/>
  <c r="T224" i="20"/>
  <c r="U224" i="20" s="1"/>
  <c r="T216" i="20"/>
  <c r="U216" i="20" s="1"/>
  <c r="T208" i="20"/>
  <c r="U208" i="20" s="1"/>
  <c r="T200" i="20"/>
  <c r="U200" i="20" s="1"/>
  <c r="T192" i="20"/>
  <c r="U192" i="20" s="1"/>
  <c r="T184" i="20"/>
  <c r="U184" i="20" s="1"/>
  <c r="T176" i="20"/>
  <c r="U176" i="20" s="1"/>
  <c r="T168" i="20"/>
  <c r="U168" i="20" s="1"/>
  <c r="T160" i="20"/>
  <c r="U160" i="20" s="1"/>
  <c r="T152" i="20"/>
  <c r="U152" i="20" s="1"/>
  <c r="T144" i="20"/>
  <c r="U144" i="20" s="1"/>
  <c r="T136" i="20"/>
  <c r="U136" i="20" s="1"/>
  <c r="T128" i="20"/>
  <c r="U128" i="20" s="1"/>
  <c r="T120" i="20"/>
  <c r="U120" i="20" s="1"/>
  <c r="T112" i="20"/>
  <c r="U112" i="20" s="1"/>
  <c r="T104" i="20"/>
  <c r="U104" i="20" s="1"/>
  <c r="T96" i="20"/>
  <c r="U96" i="20" s="1"/>
  <c r="T88" i="20"/>
  <c r="U88" i="20" s="1"/>
  <c r="T80" i="20"/>
  <c r="U80" i="20" s="1"/>
  <c r="T285" i="20"/>
  <c r="U285" i="20" s="1"/>
  <c r="T197" i="20"/>
  <c r="U197" i="20" s="1"/>
  <c r="T157" i="20"/>
  <c r="U157" i="20" s="1"/>
  <c r="T125" i="20"/>
  <c r="U125" i="20" s="1"/>
  <c r="T71" i="20"/>
  <c r="U71" i="20" s="1"/>
  <c r="T69" i="20"/>
  <c r="U69" i="20" s="1"/>
  <c r="T64" i="20"/>
  <c r="U64" i="20" s="1"/>
  <c r="T56" i="20"/>
  <c r="U56" i="20" s="1"/>
  <c r="T48" i="20"/>
  <c r="U48" i="20" s="1"/>
  <c r="T40" i="20"/>
  <c r="U40" i="20" s="1"/>
  <c r="T32" i="20"/>
  <c r="U32" i="20" s="1"/>
  <c r="T24" i="20"/>
  <c r="U24" i="20" s="1"/>
  <c r="T16" i="20"/>
  <c r="U16" i="20" s="1"/>
  <c r="T8" i="20"/>
  <c r="U8" i="20" s="1"/>
  <c r="T93" i="20"/>
  <c r="U93" i="20" s="1"/>
  <c r="T50" i="20"/>
  <c r="U50" i="20" s="1"/>
  <c r="T26" i="20"/>
  <c r="U26" i="20" s="1"/>
  <c r="T101" i="20"/>
  <c r="U101" i="20" s="1"/>
  <c r="T293" i="20"/>
  <c r="U293" i="20" s="1"/>
  <c r="T245" i="20"/>
  <c r="U245" i="20" s="1"/>
  <c r="T213" i="20"/>
  <c r="U213" i="20" s="1"/>
  <c r="T165" i="20"/>
  <c r="U165" i="20" s="1"/>
  <c r="T67" i="20"/>
  <c r="U67" i="20" s="1"/>
  <c r="T59" i="20"/>
  <c r="U59" i="20" s="1"/>
  <c r="T51" i="20"/>
  <c r="U51" i="20" s="1"/>
  <c r="T43" i="20"/>
  <c r="U43" i="20" s="1"/>
  <c r="T35" i="20"/>
  <c r="U35" i="20" s="1"/>
  <c r="T27" i="20"/>
  <c r="U27" i="20" s="1"/>
  <c r="T19" i="20"/>
  <c r="U19" i="20" s="1"/>
  <c r="T11" i="20"/>
  <c r="U11" i="20" s="1"/>
  <c r="T58" i="20"/>
  <c r="U58" i="20" s="1"/>
  <c r="T10" i="20"/>
  <c r="U10" i="20" s="1"/>
  <c r="T149" i="20"/>
  <c r="U149" i="20" s="1"/>
  <c r="T61" i="20"/>
  <c r="U61" i="20" s="1"/>
  <c r="T37" i="20"/>
  <c r="U37" i="20" s="1"/>
  <c r="T21" i="20"/>
  <c r="U21" i="20" s="1"/>
  <c r="T173" i="20"/>
  <c r="U173" i="20" s="1"/>
  <c r="T109" i="20"/>
  <c r="U109" i="20" s="1"/>
  <c r="T62" i="20"/>
  <c r="U62" i="20" s="1"/>
  <c r="T54" i="20"/>
  <c r="U54" i="20" s="1"/>
  <c r="T46" i="20"/>
  <c r="U46" i="20" s="1"/>
  <c r="T38" i="20"/>
  <c r="U38" i="20" s="1"/>
  <c r="T30" i="20"/>
  <c r="U30" i="20" s="1"/>
  <c r="T22" i="20"/>
  <c r="U22" i="20" s="1"/>
  <c r="T14" i="20"/>
  <c r="U14" i="20" s="1"/>
  <c r="T189" i="20"/>
  <c r="U189" i="20" s="1"/>
  <c r="T141" i="20"/>
  <c r="U141" i="20" s="1"/>
  <c r="T42" i="20"/>
  <c r="U42" i="20" s="1"/>
  <c r="T18" i="20"/>
  <c r="U18" i="20" s="1"/>
  <c r="T277" i="20"/>
  <c r="U277" i="20" s="1"/>
  <c r="T29" i="20"/>
  <c r="U29" i="20" s="1"/>
  <c r="T253" i="20"/>
  <c r="U253" i="20" s="1"/>
  <c r="T229" i="20"/>
  <c r="U229" i="20" s="1"/>
  <c r="T133" i="20"/>
  <c r="U133" i="20" s="1"/>
  <c r="T65" i="20"/>
  <c r="U65" i="20" s="1"/>
  <c r="T57" i="20"/>
  <c r="U57" i="20" s="1"/>
  <c r="T49" i="20"/>
  <c r="U49" i="20" s="1"/>
  <c r="T41" i="20"/>
  <c r="U41" i="20" s="1"/>
  <c r="T33" i="20"/>
  <c r="U33" i="20" s="1"/>
  <c r="T25" i="20"/>
  <c r="U25" i="20" s="1"/>
  <c r="T17" i="20"/>
  <c r="U17" i="20" s="1"/>
  <c r="T9" i="20"/>
  <c r="U9" i="20" s="1"/>
  <c r="T34" i="20"/>
  <c r="U34" i="20" s="1"/>
  <c r="T205" i="20"/>
  <c r="U205" i="20" s="1"/>
  <c r="T181" i="20"/>
  <c r="U181" i="20" s="1"/>
  <c r="T85" i="20"/>
  <c r="U85" i="20" s="1"/>
  <c r="T77" i="20"/>
  <c r="U77" i="20" s="1"/>
  <c r="T72" i="20"/>
  <c r="U72" i="20" s="1"/>
  <c r="T68" i="20"/>
  <c r="U68" i="20" s="1"/>
  <c r="T60" i="20"/>
  <c r="U60" i="20" s="1"/>
  <c r="T52" i="20"/>
  <c r="U52" i="20" s="1"/>
  <c r="T44" i="20"/>
  <c r="U44" i="20" s="1"/>
  <c r="T36" i="20"/>
  <c r="U36" i="20" s="1"/>
  <c r="T28" i="20"/>
  <c r="U28" i="20" s="1"/>
  <c r="T20" i="20"/>
  <c r="U20" i="20" s="1"/>
  <c r="T12" i="20"/>
  <c r="U12" i="20" s="1"/>
  <c r="T269" i="20"/>
  <c r="U269" i="20" s="1"/>
  <c r="T237" i="20"/>
  <c r="U237" i="20" s="1"/>
  <c r="T45" i="20"/>
  <c r="U45" i="20" s="1"/>
  <c r="T261" i="20"/>
  <c r="U261" i="20" s="1"/>
  <c r="T117" i="20"/>
  <c r="U117" i="20" s="1"/>
  <c r="T63" i="20"/>
  <c r="U63" i="20" s="1"/>
  <c r="T55" i="20"/>
  <c r="U55" i="20" s="1"/>
  <c r="T47" i="20"/>
  <c r="U47" i="20" s="1"/>
  <c r="T39" i="20"/>
  <c r="U39" i="20" s="1"/>
  <c r="T31" i="20"/>
  <c r="U31" i="20" s="1"/>
  <c r="T23" i="20"/>
  <c r="U23" i="20" s="1"/>
  <c r="T15" i="20"/>
  <c r="U15" i="20" s="1"/>
  <c r="T7" i="20"/>
  <c r="U7" i="20" s="1"/>
  <c r="T221" i="20"/>
  <c r="U221" i="20" s="1"/>
  <c r="T66" i="20"/>
  <c r="U66" i="20" s="1"/>
  <c r="T53" i="20"/>
  <c r="U53" i="20" s="1"/>
  <c r="T13" i="20"/>
  <c r="U13" i="20" s="1"/>
  <c r="O209" i="22" l="1"/>
  <c r="O260" i="22"/>
  <c r="O86" i="22"/>
  <c r="O33" i="22"/>
  <c r="O238" i="22"/>
  <c r="O246" i="22"/>
  <c r="O131" i="22"/>
  <c r="O281" i="22"/>
  <c r="O44" i="22"/>
  <c r="O66" i="22"/>
  <c r="O91" i="22"/>
  <c r="O216" i="22"/>
  <c r="O114" i="22"/>
  <c r="O76" i="22"/>
  <c r="O280" i="22"/>
  <c r="O161" i="22"/>
  <c r="O160" i="22"/>
  <c r="O30" i="22"/>
  <c r="O121" i="22"/>
  <c r="O48" i="22"/>
  <c r="O186" i="22"/>
  <c r="O240" i="22"/>
  <c r="O296" i="22"/>
  <c r="O195" i="22"/>
  <c r="O202" i="22"/>
  <c r="O159" i="22"/>
  <c r="O289" i="22"/>
  <c r="O129" i="22"/>
  <c r="O82" i="22"/>
  <c r="O262" i="22"/>
  <c r="O28" i="22"/>
  <c r="O151" i="22"/>
  <c r="O158" i="22"/>
  <c r="O103" i="22"/>
  <c r="O56" i="22"/>
  <c r="O256" i="22"/>
  <c r="O230" i="22"/>
  <c r="O190" i="22"/>
  <c r="O19" i="22"/>
  <c r="O172" i="22"/>
  <c r="O223" i="22"/>
  <c r="O24" i="22"/>
  <c r="O271" i="22"/>
  <c r="O70" i="22"/>
  <c r="O231" i="22"/>
  <c r="O57" i="22"/>
  <c r="O276" i="22"/>
  <c r="O173" i="22"/>
  <c r="O179" i="22"/>
  <c r="O132" i="22"/>
  <c r="O300" i="22"/>
  <c r="O283" i="22"/>
  <c r="O180" i="22"/>
  <c r="O69" i="22"/>
  <c r="O250" i="22"/>
  <c r="O85" i="22"/>
  <c r="O133" i="22"/>
  <c r="O50" i="22"/>
  <c r="O31" i="22"/>
  <c r="O204" i="22"/>
  <c r="O41" i="22"/>
  <c r="O203" i="22"/>
  <c r="O176" i="22"/>
  <c r="O278" i="22"/>
  <c r="O264" i="22"/>
  <c r="O80" i="22"/>
  <c r="O115" i="22"/>
  <c r="O164" i="22"/>
  <c r="O99" i="22"/>
  <c r="O106" i="22"/>
  <c r="O295" i="22"/>
  <c r="O275" i="22"/>
  <c r="O95" i="22"/>
  <c r="O218" i="22"/>
  <c r="O16" i="22"/>
  <c r="O233" i="22"/>
  <c r="O45" i="22"/>
  <c r="O210" i="22"/>
  <c r="O304" i="22"/>
  <c r="O34" i="22"/>
  <c r="O199" i="22"/>
  <c r="O171" i="22"/>
  <c r="O301" i="22"/>
  <c r="O101" i="22"/>
  <c r="O100" i="22"/>
  <c r="O245" i="22"/>
  <c r="O288" i="22"/>
  <c r="O67" i="22"/>
  <c r="O93" i="22"/>
  <c r="O255" i="22"/>
  <c r="O18" i="22"/>
  <c r="O51" i="22"/>
  <c r="O205" i="22"/>
  <c r="O181" i="22"/>
  <c r="O236" i="22"/>
  <c r="O15" i="22"/>
  <c r="O254" i="22"/>
  <c r="O150" i="22"/>
  <c r="O298" i="22"/>
  <c r="O168" i="22"/>
  <c r="O142" i="22"/>
  <c r="O302" i="22"/>
  <c r="O167" i="22"/>
  <c r="O134" i="22"/>
  <c r="O299" i="22"/>
  <c r="O40" i="22"/>
  <c r="O263" i="22"/>
  <c r="O62" i="22"/>
  <c r="O124" i="22"/>
  <c r="O249" i="22"/>
  <c r="O20" i="22"/>
  <c r="O21" i="22"/>
  <c r="O72" i="22"/>
  <c r="O98" i="22"/>
  <c r="O220" i="22"/>
  <c r="O13" i="22"/>
  <c r="O59" i="22"/>
  <c r="M11" i="22"/>
  <c r="N12" i="22"/>
  <c r="O135" i="22"/>
  <c r="O137" i="22"/>
  <c r="O272" i="22"/>
  <c r="O60" i="22"/>
  <c r="O94" i="22"/>
  <c r="O292" i="22"/>
  <c r="O139" i="22"/>
  <c r="O174" i="22"/>
  <c r="O183" i="22"/>
  <c r="O108" i="22"/>
  <c r="O102" i="22"/>
  <c r="O197" i="22"/>
  <c r="O303" i="22"/>
  <c r="O243" i="22"/>
  <c r="O273" i="22"/>
  <c r="O152" i="22"/>
  <c r="O87" i="22"/>
  <c r="O128" i="22"/>
  <c r="O293" i="22"/>
  <c r="O284" i="22"/>
  <c r="O52" i="22"/>
  <c r="O194" i="22"/>
  <c r="O213" i="22"/>
  <c r="O73" i="22"/>
  <c r="O127" i="22"/>
  <c r="O110" i="22"/>
  <c r="O227" i="22"/>
  <c r="O54" i="22"/>
  <c r="O64" i="22"/>
  <c r="O157" i="22"/>
  <c r="O163" i="22"/>
  <c r="O239" i="22"/>
  <c r="O140" i="22"/>
  <c r="O49" i="22"/>
  <c r="O84" i="22"/>
  <c r="O147" i="22"/>
  <c r="O232" i="22"/>
  <c r="O154" i="22"/>
  <c r="O23" i="22"/>
  <c r="O77" i="22"/>
  <c r="O201" i="22"/>
  <c r="O198" i="22"/>
  <c r="O252" i="22"/>
  <c r="N252" i="22"/>
  <c r="O118" i="22"/>
  <c r="O156" i="22"/>
  <c r="O267" i="22"/>
  <c r="O71" i="22"/>
  <c r="O26" i="22"/>
  <c r="O265" i="22"/>
  <c r="O294" i="22"/>
  <c r="O149" i="22"/>
  <c r="O182" i="22"/>
  <c r="O247" i="22"/>
  <c r="O123" i="22"/>
  <c r="O138" i="22"/>
  <c r="O269" i="22"/>
  <c r="O90" i="22"/>
  <c r="O277" i="22"/>
  <c r="O125" i="22"/>
  <c r="O208" i="22"/>
  <c r="O221" i="22"/>
  <c r="O222" i="22"/>
  <c r="O219" i="22"/>
  <c r="O122" i="22"/>
  <c r="O177" i="22"/>
  <c r="O112" i="22"/>
  <c r="O259" i="22"/>
  <c r="O43" i="22"/>
  <c r="O58" i="22"/>
  <c r="O192" i="22"/>
  <c r="O193" i="22"/>
  <c r="O214" i="22"/>
  <c r="O61" i="22"/>
  <c r="O187" i="22"/>
  <c r="O136" i="22"/>
  <c r="O185" i="22"/>
  <c r="O287" i="22"/>
  <c r="O235" i="22"/>
  <c r="O126" i="22"/>
  <c r="O37" i="22"/>
  <c r="O268" i="22"/>
  <c r="O257" i="22"/>
  <c r="O146" i="22"/>
  <c r="O27" i="22"/>
  <c r="O88" i="22"/>
  <c r="O169" i="22"/>
  <c r="O14" i="22"/>
  <c r="O253" i="22"/>
  <c r="O274" i="22"/>
  <c r="O251" i="22"/>
  <c r="O130" i="22"/>
  <c r="T211" i="20"/>
  <c r="U211" i="20" s="1"/>
  <c r="T275" i="20"/>
  <c r="U275" i="20" s="1"/>
  <c r="T218" i="20"/>
  <c r="U218" i="20" s="1"/>
  <c r="T282" i="20"/>
  <c r="U282" i="20" s="1"/>
  <c r="T119" i="20"/>
  <c r="U119" i="20" s="1"/>
  <c r="T183" i="20"/>
  <c r="U183" i="20" s="1"/>
  <c r="T247" i="20"/>
  <c r="U247" i="20" s="1"/>
  <c r="T84" i="20"/>
  <c r="U84" i="20" s="1"/>
  <c r="T148" i="20"/>
  <c r="U148" i="20" s="1"/>
  <c r="T212" i="20"/>
  <c r="U212" i="20" s="1"/>
  <c r="T276" i="20"/>
  <c r="U276" i="20" s="1"/>
  <c r="T113" i="20"/>
  <c r="U113" i="20" s="1"/>
  <c r="T177" i="20"/>
  <c r="U177" i="20" s="1"/>
  <c r="T241" i="20"/>
  <c r="U241" i="20" s="1"/>
  <c r="T70" i="20"/>
  <c r="U70" i="20" s="1"/>
  <c r="U6" i="20" s="1"/>
  <c r="T134" i="20"/>
  <c r="U134" i="20" s="1"/>
  <c r="T198" i="20"/>
  <c r="U198" i="20" s="1"/>
  <c r="T262" i="20"/>
  <c r="U262" i="20" s="1"/>
  <c r="T99" i="20"/>
  <c r="U99" i="20" s="1"/>
  <c r="T163" i="20"/>
  <c r="U163" i="20" s="1"/>
  <c r="T227" i="20"/>
  <c r="U227" i="20" s="1"/>
  <c r="T283" i="20"/>
  <c r="U283" i="20" s="1"/>
  <c r="T291" i="20"/>
  <c r="U291" i="20" s="1"/>
  <c r="O11" i="22" l="1"/>
  <c r="N11" i="22"/>
  <c r="T6" i="20"/>
  <c r="H304" i="19"/>
  <c r="I304" i="19" s="1"/>
  <c r="H303" i="19"/>
  <c r="I303" i="19" s="1"/>
  <c r="H302" i="19"/>
  <c r="I302" i="19" s="1"/>
  <c r="H301" i="19"/>
  <c r="I301" i="19" s="1"/>
  <c r="H300" i="19"/>
  <c r="I300" i="19" s="1"/>
  <c r="H299" i="19"/>
  <c r="I299" i="19" s="1"/>
  <c r="H298" i="19"/>
  <c r="I298" i="19" s="1"/>
  <c r="H297" i="19"/>
  <c r="I297" i="19" s="1"/>
  <c r="H296" i="19"/>
  <c r="I296" i="19" s="1"/>
  <c r="H295" i="19"/>
  <c r="I295" i="19" s="1"/>
  <c r="H294" i="19"/>
  <c r="I294" i="19" s="1"/>
  <c r="H293" i="19"/>
  <c r="I293" i="19" s="1"/>
  <c r="H292" i="19"/>
  <c r="I292" i="19" s="1"/>
  <c r="H291" i="19"/>
  <c r="I291" i="19" s="1"/>
  <c r="H290" i="19"/>
  <c r="I290" i="19" s="1"/>
  <c r="H289" i="19"/>
  <c r="I289" i="19" s="1"/>
  <c r="H288" i="19"/>
  <c r="I288" i="19" s="1"/>
  <c r="H287" i="19"/>
  <c r="I287" i="19" s="1"/>
  <c r="H286" i="19"/>
  <c r="I286" i="19" s="1"/>
  <c r="H285" i="19"/>
  <c r="I285" i="19" s="1"/>
  <c r="H284" i="19"/>
  <c r="I284" i="19" s="1"/>
  <c r="H283" i="19"/>
  <c r="I283" i="19" s="1"/>
  <c r="H282" i="19"/>
  <c r="I282" i="19" s="1"/>
  <c r="H281" i="19"/>
  <c r="I281" i="19" s="1"/>
  <c r="H280" i="19"/>
  <c r="I280" i="19" s="1"/>
  <c r="H279" i="19"/>
  <c r="I279" i="19" s="1"/>
  <c r="H278" i="19"/>
  <c r="I278" i="19" s="1"/>
  <c r="H277" i="19"/>
  <c r="I277" i="19" s="1"/>
  <c r="H276" i="19"/>
  <c r="I276" i="19" s="1"/>
  <c r="H275" i="19"/>
  <c r="I275" i="19" s="1"/>
  <c r="H274" i="19"/>
  <c r="I274" i="19" s="1"/>
  <c r="H273" i="19"/>
  <c r="I273" i="19" s="1"/>
  <c r="H272" i="19"/>
  <c r="I272" i="19" s="1"/>
  <c r="H271" i="19"/>
  <c r="I271" i="19" s="1"/>
  <c r="H270" i="19"/>
  <c r="I270" i="19" s="1"/>
  <c r="H269" i="19"/>
  <c r="I269" i="19" s="1"/>
  <c r="H268" i="19"/>
  <c r="I268" i="19" s="1"/>
  <c r="H267" i="19"/>
  <c r="I267" i="19" s="1"/>
  <c r="H266" i="19"/>
  <c r="I266" i="19" s="1"/>
  <c r="H265" i="19"/>
  <c r="I265" i="19" s="1"/>
  <c r="H264" i="19"/>
  <c r="I264" i="19" s="1"/>
  <c r="H263" i="19"/>
  <c r="I263" i="19" s="1"/>
  <c r="H262" i="19"/>
  <c r="I262" i="19" s="1"/>
  <c r="H261" i="19"/>
  <c r="I261" i="19" s="1"/>
  <c r="H260" i="19"/>
  <c r="I260" i="19" s="1"/>
  <c r="H259" i="19"/>
  <c r="I259" i="19" s="1"/>
  <c r="H258" i="19"/>
  <c r="I258" i="19" s="1"/>
  <c r="H257" i="19"/>
  <c r="I257" i="19" s="1"/>
  <c r="H256" i="19"/>
  <c r="I256" i="19" s="1"/>
  <c r="H255" i="19"/>
  <c r="I255" i="19" s="1"/>
  <c r="H254" i="19"/>
  <c r="I254" i="19" s="1"/>
  <c r="H253" i="19"/>
  <c r="I253" i="19" s="1"/>
  <c r="H252" i="19"/>
  <c r="I252" i="19" s="1"/>
  <c r="H251" i="19"/>
  <c r="I251" i="19" s="1"/>
  <c r="H250" i="19"/>
  <c r="I250" i="19" s="1"/>
  <c r="H249" i="19"/>
  <c r="I249" i="19" s="1"/>
  <c r="H248" i="19"/>
  <c r="I248" i="19" s="1"/>
  <c r="H247" i="19"/>
  <c r="I247" i="19" s="1"/>
  <c r="H246" i="19"/>
  <c r="I246" i="19" s="1"/>
  <c r="H245" i="19"/>
  <c r="I245" i="19" s="1"/>
  <c r="H244" i="19"/>
  <c r="I244" i="19" s="1"/>
  <c r="H243" i="19"/>
  <c r="I243" i="19" s="1"/>
  <c r="H242" i="19"/>
  <c r="I242" i="19" s="1"/>
  <c r="H241" i="19"/>
  <c r="I241" i="19" s="1"/>
  <c r="H240" i="19"/>
  <c r="I240" i="19" s="1"/>
  <c r="H239" i="19"/>
  <c r="I239" i="19" s="1"/>
  <c r="H238" i="19"/>
  <c r="I238" i="19" s="1"/>
  <c r="H237" i="19"/>
  <c r="I237" i="19" s="1"/>
  <c r="H236" i="19"/>
  <c r="I236" i="19" s="1"/>
  <c r="H235" i="19"/>
  <c r="I235" i="19" s="1"/>
  <c r="H234" i="19"/>
  <c r="I234" i="19" s="1"/>
  <c r="H233" i="19"/>
  <c r="I233" i="19" s="1"/>
  <c r="H232" i="19"/>
  <c r="I232" i="19" s="1"/>
  <c r="H231" i="19"/>
  <c r="I231" i="19" s="1"/>
  <c r="H230" i="19"/>
  <c r="I230" i="19" s="1"/>
  <c r="H229" i="19"/>
  <c r="I229" i="19" s="1"/>
  <c r="H228" i="19"/>
  <c r="I228" i="19" s="1"/>
  <c r="H227" i="19"/>
  <c r="I227" i="19" s="1"/>
  <c r="H226" i="19"/>
  <c r="I226" i="19" s="1"/>
  <c r="H225" i="19"/>
  <c r="I225" i="19" s="1"/>
  <c r="H224" i="19"/>
  <c r="I224" i="19" s="1"/>
  <c r="H223" i="19"/>
  <c r="I223" i="19" s="1"/>
  <c r="H222" i="19"/>
  <c r="I222" i="19" s="1"/>
  <c r="H221" i="19"/>
  <c r="I221" i="19" s="1"/>
  <c r="H220" i="19"/>
  <c r="I220" i="19" s="1"/>
  <c r="H219" i="19"/>
  <c r="I219" i="19" s="1"/>
  <c r="H218" i="19"/>
  <c r="I218" i="19" s="1"/>
  <c r="H217" i="19"/>
  <c r="I217" i="19" s="1"/>
  <c r="H216" i="19"/>
  <c r="I216" i="19" s="1"/>
  <c r="H215" i="19"/>
  <c r="I215" i="19" s="1"/>
  <c r="H214" i="19"/>
  <c r="I214" i="19" s="1"/>
  <c r="H213" i="19"/>
  <c r="I213" i="19" s="1"/>
  <c r="H212" i="19"/>
  <c r="I212" i="19" s="1"/>
  <c r="H211" i="19"/>
  <c r="I211" i="19" s="1"/>
  <c r="H210" i="19"/>
  <c r="I210" i="19" s="1"/>
  <c r="H209" i="19"/>
  <c r="I209" i="19" s="1"/>
  <c r="H208" i="19"/>
  <c r="I208" i="19" s="1"/>
  <c r="H207" i="19"/>
  <c r="I207" i="19" s="1"/>
  <c r="H206" i="19"/>
  <c r="I206" i="19" s="1"/>
  <c r="H205" i="19"/>
  <c r="I205" i="19" s="1"/>
  <c r="H204" i="19"/>
  <c r="I204" i="19" s="1"/>
  <c r="H203" i="19"/>
  <c r="I203" i="19" s="1"/>
  <c r="H202" i="19"/>
  <c r="I202" i="19" s="1"/>
  <c r="H201" i="19"/>
  <c r="I201" i="19" s="1"/>
  <c r="H200" i="19"/>
  <c r="I200" i="19" s="1"/>
  <c r="H199" i="19"/>
  <c r="I199" i="19" s="1"/>
  <c r="H198" i="19"/>
  <c r="I198" i="19" s="1"/>
  <c r="H197" i="19"/>
  <c r="I197" i="19" s="1"/>
  <c r="H196" i="19"/>
  <c r="I196" i="19" s="1"/>
  <c r="H195" i="19"/>
  <c r="I195" i="19" s="1"/>
  <c r="H194" i="19"/>
  <c r="I194" i="19" s="1"/>
  <c r="H193" i="19"/>
  <c r="I193" i="19" s="1"/>
  <c r="H192" i="19"/>
  <c r="I192" i="19" s="1"/>
  <c r="H191" i="19"/>
  <c r="I191" i="19" s="1"/>
  <c r="H190" i="19"/>
  <c r="I190" i="19" s="1"/>
  <c r="H189" i="19"/>
  <c r="I189" i="19" s="1"/>
  <c r="H188" i="19"/>
  <c r="I188" i="19" s="1"/>
  <c r="H187" i="19"/>
  <c r="I187" i="19" s="1"/>
  <c r="H186" i="19"/>
  <c r="I186" i="19" s="1"/>
  <c r="H185" i="19"/>
  <c r="I185" i="19" s="1"/>
  <c r="H184" i="19"/>
  <c r="I184" i="19" s="1"/>
  <c r="H183" i="19"/>
  <c r="I183" i="19" s="1"/>
  <c r="H182" i="19"/>
  <c r="I182" i="19" s="1"/>
  <c r="H181" i="19"/>
  <c r="I181" i="19" s="1"/>
  <c r="H180" i="19"/>
  <c r="I180" i="19" s="1"/>
  <c r="H179" i="19"/>
  <c r="I179" i="19" s="1"/>
  <c r="H178" i="19"/>
  <c r="I178" i="19" s="1"/>
  <c r="H177" i="19"/>
  <c r="I177" i="19" s="1"/>
  <c r="H176" i="19"/>
  <c r="I176" i="19" s="1"/>
  <c r="H175" i="19"/>
  <c r="I175" i="19" s="1"/>
  <c r="H174" i="19"/>
  <c r="I174" i="19" s="1"/>
  <c r="H173" i="19"/>
  <c r="I173" i="19" s="1"/>
  <c r="H172" i="19"/>
  <c r="I172" i="19" s="1"/>
  <c r="H171" i="19"/>
  <c r="I171" i="19" s="1"/>
  <c r="H170" i="19"/>
  <c r="I170" i="19" s="1"/>
  <c r="H169" i="19"/>
  <c r="I169" i="19" s="1"/>
  <c r="H168" i="19"/>
  <c r="I168" i="19" s="1"/>
  <c r="H167" i="19"/>
  <c r="I167" i="19" s="1"/>
  <c r="H166" i="19"/>
  <c r="I166" i="19" s="1"/>
  <c r="H165" i="19"/>
  <c r="I165" i="19" s="1"/>
  <c r="H164" i="19"/>
  <c r="I164" i="19" s="1"/>
  <c r="H163" i="19"/>
  <c r="I163" i="19" s="1"/>
  <c r="H162" i="19"/>
  <c r="I162" i="19" s="1"/>
  <c r="H161" i="19"/>
  <c r="I161" i="19" s="1"/>
  <c r="H160" i="19"/>
  <c r="I160" i="19" s="1"/>
  <c r="H159" i="19"/>
  <c r="I159" i="19" s="1"/>
  <c r="H158" i="19"/>
  <c r="I158" i="19" s="1"/>
  <c r="H157" i="19"/>
  <c r="I157" i="19" s="1"/>
  <c r="H156" i="19"/>
  <c r="I156" i="19" s="1"/>
  <c r="H155" i="19"/>
  <c r="I155" i="19" s="1"/>
  <c r="H154" i="19"/>
  <c r="I154" i="19" s="1"/>
  <c r="H153" i="19"/>
  <c r="I153" i="19" s="1"/>
  <c r="H152" i="19"/>
  <c r="I152" i="19" s="1"/>
  <c r="H151" i="19"/>
  <c r="I151" i="19" s="1"/>
  <c r="H150" i="19"/>
  <c r="I150" i="19" s="1"/>
  <c r="H149" i="19"/>
  <c r="I149" i="19" s="1"/>
  <c r="H148" i="19"/>
  <c r="I148" i="19" s="1"/>
  <c r="H147" i="19"/>
  <c r="I147" i="19" s="1"/>
  <c r="H146" i="19"/>
  <c r="I146" i="19" s="1"/>
  <c r="H145" i="19"/>
  <c r="I145" i="19" s="1"/>
  <c r="H144" i="19"/>
  <c r="I144" i="19" s="1"/>
  <c r="H143" i="19"/>
  <c r="I143" i="19" s="1"/>
  <c r="H142" i="19"/>
  <c r="I142" i="19" s="1"/>
  <c r="H141" i="19"/>
  <c r="I141" i="19" s="1"/>
  <c r="H140" i="19"/>
  <c r="I140" i="19" s="1"/>
  <c r="H139" i="19"/>
  <c r="I139" i="19" s="1"/>
  <c r="H138" i="19"/>
  <c r="I138" i="19" s="1"/>
  <c r="H137" i="19"/>
  <c r="I137" i="19" s="1"/>
  <c r="H136" i="19"/>
  <c r="I136" i="19" s="1"/>
  <c r="H135" i="19"/>
  <c r="I135" i="19" s="1"/>
  <c r="H134" i="19"/>
  <c r="I134" i="19" s="1"/>
  <c r="H133" i="19"/>
  <c r="I133" i="19" s="1"/>
  <c r="H132" i="19"/>
  <c r="I132" i="19" s="1"/>
  <c r="H131" i="19"/>
  <c r="I131" i="19" s="1"/>
  <c r="H130" i="19"/>
  <c r="I130" i="19" s="1"/>
  <c r="H129" i="19"/>
  <c r="I129" i="19" s="1"/>
  <c r="H128" i="19"/>
  <c r="I128" i="19" s="1"/>
  <c r="H127" i="19"/>
  <c r="I127" i="19" s="1"/>
  <c r="H126" i="19"/>
  <c r="I126" i="19" s="1"/>
  <c r="H125" i="19"/>
  <c r="I125" i="19" s="1"/>
  <c r="H124" i="19"/>
  <c r="I124" i="19" s="1"/>
  <c r="H123" i="19"/>
  <c r="I123" i="19" s="1"/>
  <c r="H122" i="19"/>
  <c r="I122" i="19" s="1"/>
  <c r="H121" i="19"/>
  <c r="I121" i="19" s="1"/>
  <c r="H120" i="19"/>
  <c r="I120" i="19" s="1"/>
  <c r="H119" i="19"/>
  <c r="I119" i="19" s="1"/>
  <c r="H118" i="19"/>
  <c r="I118" i="19" s="1"/>
  <c r="H117" i="19"/>
  <c r="I117" i="19" s="1"/>
  <c r="H116" i="19"/>
  <c r="I116" i="19" s="1"/>
  <c r="H115" i="19"/>
  <c r="I115" i="19" s="1"/>
  <c r="H114" i="19"/>
  <c r="I114" i="19" s="1"/>
  <c r="H113" i="19"/>
  <c r="I113" i="19" s="1"/>
  <c r="H112" i="19"/>
  <c r="I112" i="19" s="1"/>
  <c r="H111" i="19"/>
  <c r="I111" i="19" s="1"/>
  <c r="H110" i="19"/>
  <c r="I110" i="19" s="1"/>
  <c r="H109" i="19"/>
  <c r="I109" i="19" s="1"/>
  <c r="H108" i="19"/>
  <c r="I108" i="19" s="1"/>
  <c r="H107" i="19"/>
  <c r="I107" i="19" s="1"/>
  <c r="H106" i="19"/>
  <c r="I106" i="19" s="1"/>
  <c r="H105" i="19"/>
  <c r="I105" i="19" s="1"/>
  <c r="H104" i="19"/>
  <c r="I104" i="19" s="1"/>
  <c r="H103" i="19"/>
  <c r="I103" i="19" s="1"/>
  <c r="H102" i="19"/>
  <c r="I102" i="19" s="1"/>
  <c r="H101" i="19"/>
  <c r="I101" i="19" s="1"/>
  <c r="H100" i="19"/>
  <c r="I100" i="19" s="1"/>
  <c r="H99" i="19"/>
  <c r="I99" i="19" s="1"/>
  <c r="H98" i="19"/>
  <c r="I98" i="19" s="1"/>
  <c r="H97" i="19"/>
  <c r="I97" i="19" s="1"/>
  <c r="H96" i="19"/>
  <c r="I96" i="19" s="1"/>
  <c r="H95" i="19"/>
  <c r="I95" i="19" s="1"/>
  <c r="H94" i="19"/>
  <c r="I94" i="19" s="1"/>
  <c r="H93" i="19"/>
  <c r="I93" i="19" s="1"/>
  <c r="H92" i="19"/>
  <c r="I92" i="19" s="1"/>
  <c r="H91" i="19"/>
  <c r="I91" i="19" s="1"/>
  <c r="H90" i="19"/>
  <c r="I90" i="19" s="1"/>
  <c r="H89" i="19"/>
  <c r="I89" i="19" s="1"/>
  <c r="H88" i="19"/>
  <c r="I88" i="19" s="1"/>
  <c r="H87" i="19"/>
  <c r="I87" i="19" s="1"/>
  <c r="H86" i="19"/>
  <c r="I86" i="19" s="1"/>
  <c r="H85" i="19"/>
  <c r="I85" i="19" s="1"/>
  <c r="H84" i="19"/>
  <c r="I84" i="19" s="1"/>
  <c r="H83" i="19"/>
  <c r="I83" i="19" s="1"/>
  <c r="H82" i="19"/>
  <c r="I82" i="19" s="1"/>
  <c r="H81" i="19"/>
  <c r="I81" i="19" s="1"/>
  <c r="H80" i="19"/>
  <c r="I80" i="19" s="1"/>
  <c r="H79" i="19"/>
  <c r="I79" i="19" s="1"/>
  <c r="H78" i="19"/>
  <c r="I78" i="19" s="1"/>
  <c r="H77" i="19"/>
  <c r="I77" i="19" s="1"/>
  <c r="H76" i="19"/>
  <c r="I76" i="19" s="1"/>
  <c r="H75" i="19"/>
  <c r="I75" i="19" s="1"/>
  <c r="H74" i="19"/>
  <c r="I74" i="19" s="1"/>
  <c r="H73" i="19"/>
  <c r="I73" i="19" s="1"/>
  <c r="H72" i="19"/>
  <c r="I72" i="19" s="1"/>
  <c r="H71" i="19"/>
  <c r="I71" i="19" s="1"/>
  <c r="H70" i="19"/>
  <c r="I70" i="19" s="1"/>
  <c r="H69" i="19"/>
  <c r="I69" i="19" s="1"/>
  <c r="H68" i="19"/>
  <c r="I68" i="19" s="1"/>
  <c r="H67" i="19"/>
  <c r="I67" i="19" s="1"/>
  <c r="H66" i="19"/>
  <c r="I66" i="19" s="1"/>
  <c r="H65" i="19"/>
  <c r="I65" i="19" s="1"/>
  <c r="H64" i="19"/>
  <c r="I64" i="19" s="1"/>
  <c r="H63" i="19"/>
  <c r="I63" i="19" s="1"/>
  <c r="H62" i="19"/>
  <c r="I62" i="19" s="1"/>
  <c r="H61" i="19"/>
  <c r="I61" i="19" s="1"/>
  <c r="H60" i="19"/>
  <c r="I60" i="19" s="1"/>
  <c r="H59" i="19"/>
  <c r="I59" i="19" s="1"/>
  <c r="H58" i="19"/>
  <c r="I58" i="19" s="1"/>
  <c r="H57" i="19"/>
  <c r="I57" i="19" s="1"/>
  <c r="H56" i="19"/>
  <c r="I56" i="19" s="1"/>
  <c r="H55" i="19"/>
  <c r="I55" i="19" s="1"/>
  <c r="H54" i="19"/>
  <c r="I54" i="19" s="1"/>
  <c r="H53" i="19"/>
  <c r="I53" i="19" s="1"/>
  <c r="H52" i="19"/>
  <c r="I52" i="19" s="1"/>
  <c r="H51" i="19"/>
  <c r="I51" i="19" s="1"/>
  <c r="H50" i="19"/>
  <c r="I50" i="19" s="1"/>
  <c r="H49" i="19"/>
  <c r="I49" i="19" s="1"/>
  <c r="H48" i="19"/>
  <c r="I48" i="19" s="1"/>
  <c r="H47" i="19"/>
  <c r="I47" i="19" s="1"/>
  <c r="H46" i="19"/>
  <c r="I46" i="19" s="1"/>
  <c r="H45" i="19"/>
  <c r="I45" i="19" s="1"/>
  <c r="H44" i="19"/>
  <c r="I44" i="19" s="1"/>
  <c r="H43" i="19"/>
  <c r="I43" i="19" s="1"/>
  <c r="H42" i="19"/>
  <c r="I42" i="19" s="1"/>
  <c r="H41" i="19"/>
  <c r="I41" i="19" s="1"/>
  <c r="H40" i="19"/>
  <c r="I40" i="19" s="1"/>
  <c r="H39" i="19"/>
  <c r="I39" i="19" s="1"/>
  <c r="H38" i="19"/>
  <c r="I38" i="19" s="1"/>
  <c r="H37" i="19"/>
  <c r="I37" i="19" s="1"/>
  <c r="H36" i="19"/>
  <c r="I36" i="19" s="1"/>
  <c r="H35" i="19"/>
  <c r="I35" i="19" s="1"/>
  <c r="H34" i="19"/>
  <c r="I34" i="19" s="1"/>
  <c r="H33" i="19"/>
  <c r="I33" i="19" s="1"/>
  <c r="H32" i="19"/>
  <c r="I32" i="19" s="1"/>
  <c r="H31" i="19"/>
  <c r="I31" i="19" s="1"/>
  <c r="H30" i="19"/>
  <c r="I30" i="19" s="1"/>
  <c r="H29" i="19"/>
  <c r="I29" i="19" s="1"/>
  <c r="H28" i="19"/>
  <c r="I28" i="19" s="1"/>
  <c r="H27" i="19"/>
  <c r="I27" i="19" s="1"/>
  <c r="H26" i="19"/>
  <c r="I26" i="19" s="1"/>
  <c r="H25" i="19"/>
  <c r="I25" i="19" s="1"/>
  <c r="H24" i="19"/>
  <c r="I24" i="19" s="1"/>
  <c r="H23" i="19"/>
  <c r="I23" i="19" s="1"/>
  <c r="H22" i="19"/>
  <c r="I22" i="19" s="1"/>
  <c r="H21" i="19"/>
  <c r="I21" i="19" s="1"/>
  <c r="H20" i="19"/>
  <c r="I20" i="19" s="1"/>
  <c r="H19" i="19"/>
  <c r="I19" i="19" s="1"/>
  <c r="H18" i="19"/>
  <c r="I18" i="19" s="1"/>
  <c r="H17" i="19"/>
  <c r="I17" i="19" s="1"/>
  <c r="H16" i="19"/>
  <c r="I16" i="19" s="1"/>
  <c r="H15" i="19"/>
  <c r="I15" i="19" s="1"/>
  <c r="H14" i="19"/>
  <c r="I14" i="19" s="1"/>
  <c r="H13" i="19"/>
  <c r="I13" i="19" s="1"/>
  <c r="H12" i="19"/>
  <c r="G11" i="19"/>
  <c r="F11" i="19"/>
  <c r="E11" i="19"/>
  <c r="D11" i="19"/>
  <c r="C11" i="19"/>
  <c r="H11" i="19" l="1"/>
  <c r="I12" i="19"/>
  <c r="I11" i="19"/>
  <c r="F6" i="14" l="1"/>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5" i="14"/>
  <c r="F4" i="14" s="1"/>
  <c r="E4" i="14"/>
  <c r="F13" i="12" l="1"/>
  <c r="F14" i="12"/>
  <c r="F15" i="12"/>
  <c r="G15" i="12" s="1"/>
  <c r="F16" i="12"/>
  <c r="G16" i="12" s="1"/>
  <c r="F17" i="12"/>
  <c r="G17" i="12" s="1"/>
  <c r="F18" i="12"/>
  <c r="G18" i="12" s="1"/>
  <c r="F19" i="12"/>
  <c r="G19" i="12" s="1"/>
  <c r="F20" i="12"/>
  <c r="F21" i="12"/>
  <c r="F22" i="12"/>
  <c r="F23" i="12"/>
  <c r="G23" i="12" s="1"/>
  <c r="F24" i="12"/>
  <c r="G24" i="12" s="1"/>
  <c r="F25" i="12"/>
  <c r="G25" i="12" s="1"/>
  <c r="F26" i="12"/>
  <c r="G26" i="12" s="1"/>
  <c r="F27" i="12"/>
  <c r="G27" i="12" s="1"/>
  <c r="F28" i="12"/>
  <c r="F29" i="12"/>
  <c r="F30" i="12"/>
  <c r="F31" i="12"/>
  <c r="F32" i="12"/>
  <c r="G32" i="12" s="1"/>
  <c r="F33" i="12"/>
  <c r="G33" i="12" s="1"/>
  <c r="F34" i="12"/>
  <c r="G34" i="12" s="1"/>
  <c r="F35" i="12"/>
  <c r="G35" i="12" s="1"/>
  <c r="F36" i="12"/>
  <c r="F37" i="12"/>
  <c r="F38" i="12"/>
  <c r="F39" i="12"/>
  <c r="F40" i="12"/>
  <c r="F41" i="12"/>
  <c r="G41" i="12" s="1"/>
  <c r="F42" i="12"/>
  <c r="F43" i="12"/>
  <c r="G43" i="12" s="1"/>
  <c r="F44" i="12"/>
  <c r="F45" i="12"/>
  <c r="F46" i="12"/>
  <c r="F47" i="12"/>
  <c r="F48" i="12"/>
  <c r="F49" i="12"/>
  <c r="F50" i="12"/>
  <c r="G50" i="12" s="1"/>
  <c r="F51" i="12"/>
  <c r="G51" i="12" s="1"/>
  <c r="F52" i="12"/>
  <c r="F53" i="12"/>
  <c r="F54" i="12"/>
  <c r="F55" i="12"/>
  <c r="G55" i="12" s="1"/>
  <c r="F56" i="12"/>
  <c r="G56" i="12" s="1"/>
  <c r="F57" i="12"/>
  <c r="G57" i="12" s="1"/>
  <c r="F58" i="12"/>
  <c r="G58" i="12" s="1"/>
  <c r="F59" i="12"/>
  <c r="G59" i="12" s="1"/>
  <c r="F60" i="12"/>
  <c r="F61" i="12"/>
  <c r="F62" i="12"/>
  <c r="F63" i="12"/>
  <c r="G63" i="12" s="1"/>
  <c r="F64" i="12"/>
  <c r="G64" i="12" s="1"/>
  <c r="F65" i="12"/>
  <c r="G65" i="12" s="1"/>
  <c r="F66" i="12"/>
  <c r="G66" i="12" s="1"/>
  <c r="F67" i="12"/>
  <c r="G67" i="12" s="1"/>
  <c r="F68" i="12"/>
  <c r="F69" i="12"/>
  <c r="F70" i="12"/>
  <c r="F71" i="12"/>
  <c r="G71" i="12" s="1"/>
  <c r="F72" i="12"/>
  <c r="G72" i="12" s="1"/>
  <c r="F73" i="12"/>
  <c r="G73" i="12" s="1"/>
  <c r="F74" i="12"/>
  <c r="G74" i="12" s="1"/>
  <c r="F75" i="12"/>
  <c r="G75" i="12" s="1"/>
  <c r="F76" i="12"/>
  <c r="F77" i="12"/>
  <c r="F78" i="12"/>
  <c r="F79" i="12"/>
  <c r="G79" i="12" s="1"/>
  <c r="F80" i="12"/>
  <c r="G80" i="12" s="1"/>
  <c r="F81" i="12"/>
  <c r="G81" i="12" s="1"/>
  <c r="F82" i="12"/>
  <c r="G82" i="12" s="1"/>
  <c r="F83" i="12"/>
  <c r="G83" i="12" s="1"/>
  <c r="F84" i="12"/>
  <c r="F85" i="12"/>
  <c r="F86" i="12"/>
  <c r="F87" i="12"/>
  <c r="G87" i="12" s="1"/>
  <c r="F88" i="12"/>
  <c r="G88" i="12" s="1"/>
  <c r="F89" i="12"/>
  <c r="G89" i="12" s="1"/>
  <c r="F90" i="12"/>
  <c r="G90" i="12" s="1"/>
  <c r="F91" i="12"/>
  <c r="G91" i="12" s="1"/>
  <c r="F92" i="12"/>
  <c r="F93" i="12"/>
  <c r="F94" i="12"/>
  <c r="F95" i="12"/>
  <c r="F96" i="12"/>
  <c r="G96" i="12" s="1"/>
  <c r="F97" i="12"/>
  <c r="G97" i="12" s="1"/>
  <c r="F98" i="12"/>
  <c r="F99" i="12"/>
  <c r="G99" i="12" s="1"/>
  <c r="F100" i="12"/>
  <c r="F101" i="12"/>
  <c r="F102" i="12"/>
  <c r="F103" i="12"/>
  <c r="F104" i="12"/>
  <c r="F105" i="12"/>
  <c r="G105" i="12" s="1"/>
  <c r="F106" i="12"/>
  <c r="G106" i="12" s="1"/>
  <c r="F107" i="12"/>
  <c r="G107" i="12" s="1"/>
  <c r="F108" i="12"/>
  <c r="F109" i="12"/>
  <c r="F110" i="12"/>
  <c r="F111" i="12"/>
  <c r="F112" i="12"/>
  <c r="F113" i="12"/>
  <c r="F114" i="12"/>
  <c r="G114" i="12" s="1"/>
  <c r="F115" i="12"/>
  <c r="G115" i="12" s="1"/>
  <c r="F116" i="12"/>
  <c r="F117" i="12"/>
  <c r="F118" i="12"/>
  <c r="F119" i="12"/>
  <c r="G119" i="12" s="1"/>
  <c r="F120" i="12"/>
  <c r="G120" i="12" s="1"/>
  <c r="F121" i="12"/>
  <c r="G121" i="12" s="1"/>
  <c r="F122" i="12"/>
  <c r="G122" i="12" s="1"/>
  <c r="F123" i="12"/>
  <c r="G123" i="12" s="1"/>
  <c r="F124" i="12"/>
  <c r="F125" i="12"/>
  <c r="F126" i="12"/>
  <c r="F127" i="12"/>
  <c r="G127" i="12" s="1"/>
  <c r="F128" i="12"/>
  <c r="G128" i="12" s="1"/>
  <c r="F129" i="12"/>
  <c r="G129" i="12" s="1"/>
  <c r="F130" i="12"/>
  <c r="G130" i="12" s="1"/>
  <c r="F131" i="12"/>
  <c r="G131" i="12" s="1"/>
  <c r="F132" i="12"/>
  <c r="F133" i="12"/>
  <c r="F134" i="12"/>
  <c r="F135" i="12"/>
  <c r="G135" i="12" s="1"/>
  <c r="F136" i="12"/>
  <c r="G136" i="12" s="1"/>
  <c r="F137" i="12"/>
  <c r="G137" i="12" s="1"/>
  <c r="F138" i="12"/>
  <c r="G138" i="12" s="1"/>
  <c r="F139" i="12"/>
  <c r="G139" i="12" s="1"/>
  <c r="F140" i="12"/>
  <c r="F141" i="12"/>
  <c r="F142" i="12"/>
  <c r="F143" i="12"/>
  <c r="G143" i="12" s="1"/>
  <c r="F144" i="12"/>
  <c r="G144" i="12" s="1"/>
  <c r="F145" i="12"/>
  <c r="G145" i="12" s="1"/>
  <c r="F146" i="12"/>
  <c r="G146" i="12" s="1"/>
  <c r="F147" i="12"/>
  <c r="G147" i="12" s="1"/>
  <c r="F148" i="12"/>
  <c r="F149" i="12"/>
  <c r="F150" i="12"/>
  <c r="F151" i="12"/>
  <c r="G151" i="12" s="1"/>
  <c r="F152" i="12"/>
  <c r="G152" i="12" s="1"/>
  <c r="F153" i="12"/>
  <c r="G153" i="12" s="1"/>
  <c r="F154" i="12"/>
  <c r="G154" i="12" s="1"/>
  <c r="F155" i="12"/>
  <c r="G155" i="12" s="1"/>
  <c r="F156" i="12"/>
  <c r="F157" i="12"/>
  <c r="F158" i="12"/>
  <c r="F159" i="12"/>
  <c r="F160" i="12"/>
  <c r="G160" i="12" s="1"/>
  <c r="F161" i="12"/>
  <c r="G161" i="12" s="1"/>
  <c r="F162" i="12"/>
  <c r="G162" i="12" s="1"/>
  <c r="F163" i="12"/>
  <c r="G163" i="12" s="1"/>
  <c r="F164" i="12"/>
  <c r="F165" i="12"/>
  <c r="F166" i="12"/>
  <c r="F167" i="12"/>
  <c r="F168" i="12"/>
  <c r="F169" i="12"/>
  <c r="G169" i="12" s="1"/>
  <c r="F170" i="12"/>
  <c r="G170" i="12" s="1"/>
  <c r="F171" i="12"/>
  <c r="G171" i="12" s="1"/>
  <c r="F172" i="12"/>
  <c r="F173" i="12"/>
  <c r="F174" i="12"/>
  <c r="F175" i="12"/>
  <c r="F176" i="12"/>
  <c r="F177" i="12"/>
  <c r="G177" i="12" s="1"/>
  <c r="F178" i="12"/>
  <c r="G178" i="12" s="1"/>
  <c r="F179" i="12"/>
  <c r="G179" i="12" s="1"/>
  <c r="F180" i="12"/>
  <c r="F181" i="12"/>
  <c r="F182" i="12"/>
  <c r="F183" i="12"/>
  <c r="G183" i="12" s="1"/>
  <c r="F184" i="12"/>
  <c r="G184" i="12" s="1"/>
  <c r="F185" i="12"/>
  <c r="G185" i="12" s="1"/>
  <c r="F186" i="12"/>
  <c r="G186" i="12" s="1"/>
  <c r="F187" i="12"/>
  <c r="G187" i="12" s="1"/>
  <c r="F188" i="12"/>
  <c r="F189" i="12"/>
  <c r="F190" i="12"/>
  <c r="F191" i="12"/>
  <c r="G191" i="12" s="1"/>
  <c r="F192" i="12"/>
  <c r="G192" i="12" s="1"/>
  <c r="F193" i="12"/>
  <c r="G193" i="12" s="1"/>
  <c r="F194" i="12"/>
  <c r="G194" i="12" s="1"/>
  <c r="F195" i="12"/>
  <c r="G195" i="12" s="1"/>
  <c r="F196" i="12"/>
  <c r="F197" i="12"/>
  <c r="F198" i="12"/>
  <c r="F199" i="12"/>
  <c r="G199" i="12" s="1"/>
  <c r="F200" i="12"/>
  <c r="G200" i="12" s="1"/>
  <c r="F201" i="12"/>
  <c r="G201" i="12" s="1"/>
  <c r="F202" i="12"/>
  <c r="G202" i="12" s="1"/>
  <c r="F203" i="12"/>
  <c r="G203" i="12" s="1"/>
  <c r="F204" i="12"/>
  <c r="F205" i="12"/>
  <c r="F206" i="12"/>
  <c r="F207" i="12"/>
  <c r="G207" i="12" s="1"/>
  <c r="F208" i="12"/>
  <c r="G208" i="12" s="1"/>
  <c r="F209" i="12"/>
  <c r="G209" i="12" s="1"/>
  <c r="F210" i="12"/>
  <c r="G210" i="12" s="1"/>
  <c r="F211" i="12"/>
  <c r="G211" i="12" s="1"/>
  <c r="F212" i="12"/>
  <c r="F213" i="12"/>
  <c r="F214" i="12"/>
  <c r="F215" i="12"/>
  <c r="G215" i="12" s="1"/>
  <c r="F216" i="12"/>
  <c r="G216" i="12" s="1"/>
  <c r="F217" i="12"/>
  <c r="G217" i="12" s="1"/>
  <c r="F218" i="12"/>
  <c r="G218" i="12" s="1"/>
  <c r="F219" i="12"/>
  <c r="G219" i="12" s="1"/>
  <c r="F220" i="12"/>
  <c r="F221" i="12"/>
  <c r="F222" i="12"/>
  <c r="F223" i="12"/>
  <c r="F224" i="12"/>
  <c r="G224" i="12" s="1"/>
  <c r="F225" i="12"/>
  <c r="G225" i="12" s="1"/>
  <c r="F226" i="12"/>
  <c r="G226" i="12" s="1"/>
  <c r="F227" i="12"/>
  <c r="G227" i="12" s="1"/>
  <c r="F228" i="12"/>
  <c r="F229" i="12"/>
  <c r="F230" i="12"/>
  <c r="F231" i="12"/>
  <c r="F232" i="12"/>
  <c r="F233" i="12"/>
  <c r="G233" i="12" s="1"/>
  <c r="F234" i="12"/>
  <c r="G234" i="12" s="1"/>
  <c r="F235" i="12"/>
  <c r="G235" i="12" s="1"/>
  <c r="F236" i="12"/>
  <c r="F237" i="12"/>
  <c r="F238" i="12"/>
  <c r="F239" i="12"/>
  <c r="F240" i="12"/>
  <c r="F241" i="12"/>
  <c r="F242" i="12"/>
  <c r="G242" i="12" s="1"/>
  <c r="F243" i="12"/>
  <c r="G243" i="12" s="1"/>
  <c r="F244" i="12"/>
  <c r="F245" i="12"/>
  <c r="F246" i="12"/>
  <c r="F247" i="12"/>
  <c r="G247" i="12" s="1"/>
  <c r="F248" i="12"/>
  <c r="G248" i="12" s="1"/>
  <c r="F249" i="12"/>
  <c r="G249" i="12" s="1"/>
  <c r="F250" i="12"/>
  <c r="G250" i="12" s="1"/>
  <c r="F251" i="12"/>
  <c r="G251" i="12" s="1"/>
  <c r="F252" i="12"/>
  <c r="F253" i="12"/>
  <c r="F254" i="12"/>
  <c r="F255" i="12"/>
  <c r="G255" i="12" s="1"/>
  <c r="F256" i="12"/>
  <c r="G256" i="12" s="1"/>
  <c r="F257" i="12"/>
  <c r="G257" i="12" s="1"/>
  <c r="F258" i="12"/>
  <c r="G258" i="12" s="1"/>
  <c r="F259" i="12"/>
  <c r="G259" i="12" s="1"/>
  <c r="F260" i="12"/>
  <c r="F261" i="12"/>
  <c r="F262" i="12"/>
  <c r="F263" i="12"/>
  <c r="G263" i="12" s="1"/>
  <c r="F264" i="12"/>
  <c r="G264" i="12" s="1"/>
  <c r="F265" i="12"/>
  <c r="G265" i="12" s="1"/>
  <c r="F266" i="12"/>
  <c r="G266" i="12" s="1"/>
  <c r="F267" i="12"/>
  <c r="G267" i="12" s="1"/>
  <c r="F268" i="12"/>
  <c r="F269" i="12"/>
  <c r="F270" i="12"/>
  <c r="F271" i="12"/>
  <c r="G271" i="12" s="1"/>
  <c r="F272" i="12"/>
  <c r="G272" i="12" s="1"/>
  <c r="F273" i="12"/>
  <c r="G273" i="12" s="1"/>
  <c r="F274" i="12"/>
  <c r="G274" i="12" s="1"/>
  <c r="F275" i="12"/>
  <c r="G275" i="12" s="1"/>
  <c r="F276" i="12"/>
  <c r="F277" i="12"/>
  <c r="F278" i="12"/>
  <c r="F279" i="12"/>
  <c r="G279" i="12" s="1"/>
  <c r="F280" i="12"/>
  <c r="G280" i="12" s="1"/>
  <c r="F281" i="12"/>
  <c r="G281" i="12" s="1"/>
  <c r="F282" i="12"/>
  <c r="G282" i="12" s="1"/>
  <c r="F283" i="12"/>
  <c r="G283" i="12" s="1"/>
  <c r="F284" i="12"/>
  <c r="F285" i="12"/>
  <c r="F286" i="12"/>
  <c r="F287" i="12"/>
  <c r="F288" i="12"/>
  <c r="G288" i="12" s="1"/>
  <c r="F289" i="12"/>
  <c r="G289" i="12" s="1"/>
  <c r="F290" i="12"/>
  <c r="G290" i="12" s="1"/>
  <c r="F291" i="12"/>
  <c r="G291" i="12" s="1"/>
  <c r="F292" i="12"/>
  <c r="F293" i="12"/>
  <c r="F294" i="12"/>
  <c r="F295" i="12"/>
  <c r="F296" i="12"/>
  <c r="F297" i="12"/>
  <c r="G297" i="12" s="1"/>
  <c r="F298" i="12"/>
  <c r="F299" i="12"/>
  <c r="G299" i="12" s="1"/>
  <c r="F300" i="12"/>
  <c r="F301" i="12"/>
  <c r="F302" i="12"/>
  <c r="F303" i="12"/>
  <c r="F304" i="12"/>
  <c r="G304" i="12" s="1"/>
  <c r="G13" i="12"/>
  <c r="G14" i="12"/>
  <c r="G20" i="12"/>
  <c r="G21" i="12"/>
  <c r="G22" i="12"/>
  <c r="G28" i="12"/>
  <c r="G29" i="12"/>
  <c r="G30" i="12"/>
  <c r="G31" i="12"/>
  <c r="G36" i="12"/>
  <c r="G37" i="12"/>
  <c r="G38" i="12"/>
  <c r="G39" i="12"/>
  <c r="G40" i="12"/>
  <c r="G42" i="12"/>
  <c r="G44" i="12"/>
  <c r="G45" i="12"/>
  <c r="G46" i="12"/>
  <c r="G47" i="12"/>
  <c r="G48" i="12"/>
  <c r="G49" i="12"/>
  <c r="G52" i="12"/>
  <c r="G53" i="12"/>
  <c r="G54" i="12"/>
  <c r="G60" i="12"/>
  <c r="G61" i="12"/>
  <c r="G62" i="12"/>
  <c r="G68" i="12"/>
  <c r="G69" i="12"/>
  <c r="G70" i="12"/>
  <c r="G76" i="12"/>
  <c r="G77" i="12"/>
  <c r="G78" i="12"/>
  <c r="G84" i="12"/>
  <c r="G85" i="12"/>
  <c r="G86" i="12"/>
  <c r="G92" i="12"/>
  <c r="G93" i="12"/>
  <c r="G94" i="12"/>
  <c r="G95" i="12"/>
  <c r="G98" i="12"/>
  <c r="G100" i="12"/>
  <c r="G101" i="12"/>
  <c r="G102" i="12"/>
  <c r="G103" i="12"/>
  <c r="G104" i="12"/>
  <c r="G108" i="12"/>
  <c r="G109" i="12"/>
  <c r="G110" i="12"/>
  <c r="G111" i="12"/>
  <c r="G112" i="12"/>
  <c r="G113" i="12"/>
  <c r="G116" i="12"/>
  <c r="G117" i="12"/>
  <c r="G118" i="12"/>
  <c r="G124" i="12"/>
  <c r="G125" i="12"/>
  <c r="G126" i="12"/>
  <c r="G132" i="12"/>
  <c r="G133" i="12"/>
  <c r="G134" i="12"/>
  <c r="G140" i="12"/>
  <c r="G141" i="12"/>
  <c r="G142" i="12"/>
  <c r="G148" i="12"/>
  <c r="G149" i="12"/>
  <c r="G150" i="12"/>
  <c r="G156" i="12"/>
  <c r="G157" i="12"/>
  <c r="G158" i="12"/>
  <c r="G159" i="12"/>
  <c r="G164" i="12"/>
  <c r="G165" i="12"/>
  <c r="G166" i="12"/>
  <c r="G167" i="12"/>
  <c r="G168" i="12"/>
  <c r="G172" i="12"/>
  <c r="G173" i="12"/>
  <c r="G174" i="12"/>
  <c r="G175" i="12"/>
  <c r="G176" i="12"/>
  <c r="G180" i="12"/>
  <c r="G181" i="12"/>
  <c r="G182" i="12"/>
  <c r="G188" i="12"/>
  <c r="G189" i="12"/>
  <c r="G190" i="12"/>
  <c r="G196" i="12"/>
  <c r="G197" i="12"/>
  <c r="G198" i="12"/>
  <c r="G204" i="12"/>
  <c r="G205" i="12"/>
  <c r="G206" i="12"/>
  <c r="G212" i="12"/>
  <c r="G213" i="12"/>
  <c r="G214" i="12"/>
  <c r="G220" i="12"/>
  <c r="G221" i="12"/>
  <c r="G222" i="12"/>
  <c r="G223" i="12"/>
  <c r="G228" i="12"/>
  <c r="G229" i="12"/>
  <c r="G230" i="12"/>
  <c r="G231" i="12"/>
  <c r="G232" i="12"/>
  <c r="G236" i="12"/>
  <c r="G237" i="12"/>
  <c r="G238" i="12"/>
  <c r="G239" i="12"/>
  <c r="G240" i="12"/>
  <c r="G241" i="12"/>
  <c r="G244" i="12"/>
  <c r="G245" i="12"/>
  <c r="G246" i="12"/>
  <c r="G252" i="12"/>
  <c r="G253" i="12"/>
  <c r="G254" i="12"/>
  <c r="G260" i="12"/>
  <c r="G261" i="12"/>
  <c r="G262" i="12"/>
  <c r="G268" i="12"/>
  <c r="G269" i="12"/>
  <c r="G270" i="12"/>
  <c r="G276" i="12"/>
  <c r="G277" i="12"/>
  <c r="G278" i="12"/>
  <c r="G284" i="12"/>
  <c r="G285" i="12"/>
  <c r="G286" i="12"/>
  <c r="G287" i="12"/>
  <c r="G292" i="12"/>
  <c r="G293" i="12"/>
  <c r="G294" i="12"/>
  <c r="G295" i="12"/>
  <c r="G296" i="12"/>
  <c r="G298" i="12"/>
  <c r="G300" i="12"/>
  <c r="G301" i="12"/>
  <c r="G302" i="12"/>
  <c r="G303" i="12"/>
  <c r="N4" i="11" l="1"/>
  <c r="M4" i="11"/>
  <c r="K4" i="11"/>
  <c r="AD14" i="9"/>
  <c r="AD15" i="9"/>
  <c r="AD16" i="9"/>
  <c r="AD17" i="9"/>
  <c r="AD18" i="9"/>
  <c r="AD19" i="9"/>
  <c r="AD20" i="9"/>
  <c r="AD21" i="9"/>
  <c r="AD22" i="9"/>
  <c r="AD23" i="9"/>
  <c r="AD24" i="9"/>
  <c r="AD25" i="9"/>
  <c r="AD26" i="9"/>
  <c r="AD27" i="9"/>
  <c r="AD28" i="9"/>
  <c r="AD29" i="9"/>
  <c r="AD30" i="9"/>
  <c r="AD31" i="9"/>
  <c r="AD32" i="9"/>
  <c r="AD33" i="9"/>
  <c r="AD34" i="9"/>
  <c r="AD35" i="9"/>
  <c r="AD36" i="9"/>
  <c r="AD37" i="9"/>
  <c r="AD38" i="9"/>
  <c r="AD39" i="9"/>
  <c r="AD40" i="9"/>
  <c r="AD41" i="9"/>
  <c r="AD42" i="9"/>
  <c r="AD43" i="9"/>
  <c r="AD44" i="9"/>
  <c r="AD45" i="9"/>
  <c r="AD46" i="9"/>
  <c r="AD47" i="9"/>
  <c r="AD48" i="9"/>
  <c r="AD49" i="9"/>
  <c r="AD50" i="9"/>
  <c r="AD51" i="9"/>
  <c r="AD52" i="9"/>
  <c r="AD53" i="9"/>
  <c r="AD54" i="9"/>
  <c r="AD55" i="9"/>
  <c r="AD56" i="9"/>
  <c r="AD57" i="9"/>
  <c r="AD58" i="9"/>
  <c r="AD59" i="9"/>
  <c r="AD60" i="9"/>
  <c r="AD61" i="9"/>
  <c r="AD62" i="9"/>
  <c r="AD63" i="9"/>
  <c r="AD64" i="9"/>
  <c r="AD65" i="9"/>
  <c r="AD66" i="9"/>
  <c r="AD67" i="9"/>
  <c r="AD68" i="9"/>
  <c r="AD69" i="9"/>
  <c r="AD70" i="9"/>
  <c r="AD71" i="9"/>
  <c r="AD72" i="9"/>
  <c r="AD73" i="9"/>
  <c r="AD74" i="9"/>
  <c r="AD75" i="9"/>
  <c r="AD76" i="9"/>
  <c r="AD77" i="9"/>
  <c r="AD78" i="9"/>
  <c r="AD79" i="9"/>
  <c r="AD80" i="9"/>
  <c r="AD81" i="9"/>
  <c r="AD82" i="9"/>
  <c r="AD83" i="9"/>
  <c r="AD84" i="9"/>
  <c r="AD85" i="9"/>
  <c r="AD86" i="9"/>
  <c r="AD87" i="9"/>
  <c r="AD88" i="9"/>
  <c r="AD89" i="9"/>
  <c r="AD90" i="9"/>
  <c r="AD91" i="9"/>
  <c r="AD92" i="9"/>
  <c r="AD93" i="9"/>
  <c r="AD94" i="9"/>
  <c r="AD95" i="9"/>
  <c r="AD96" i="9"/>
  <c r="AD97" i="9"/>
  <c r="AD98" i="9"/>
  <c r="AD99" i="9"/>
  <c r="AD100" i="9"/>
  <c r="AD101" i="9"/>
  <c r="AD102" i="9"/>
  <c r="AD103" i="9"/>
  <c r="AD104" i="9"/>
  <c r="AD105" i="9"/>
  <c r="AD106" i="9"/>
  <c r="AD107" i="9"/>
  <c r="AD108" i="9"/>
  <c r="AD109" i="9"/>
  <c r="AD110" i="9"/>
  <c r="AD111" i="9"/>
  <c r="AD112" i="9"/>
  <c r="AD113" i="9"/>
  <c r="AD114" i="9"/>
  <c r="AD115" i="9"/>
  <c r="AD116" i="9"/>
  <c r="AD117" i="9"/>
  <c r="AD118" i="9"/>
  <c r="AD119" i="9"/>
  <c r="AD120" i="9"/>
  <c r="AD121" i="9"/>
  <c r="AD122" i="9"/>
  <c r="AD123" i="9"/>
  <c r="AD124" i="9"/>
  <c r="AD125" i="9"/>
  <c r="AD126" i="9"/>
  <c r="AD127" i="9"/>
  <c r="AD128" i="9"/>
  <c r="AD129" i="9"/>
  <c r="AD130" i="9"/>
  <c r="AD131" i="9"/>
  <c r="AD132" i="9"/>
  <c r="AD133" i="9"/>
  <c r="AD134" i="9"/>
  <c r="AD135" i="9"/>
  <c r="AD136" i="9"/>
  <c r="AD137" i="9"/>
  <c r="AD138" i="9"/>
  <c r="AD139" i="9"/>
  <c r="AD140" i="9"/>
  <c r="AD141" i="9"/>
  <c r="AD142" i="9"/>
  <c r="AD143" i="9"/>
  <c r="AD144" i="9"/>
  <c r="AD145" i="9"/>
  <c r="AD146" i="9"/>
  <c r="AD147" i="9"/>
  <c r="AD148" i="9"/>
  <c r="AD149" i="9"/>
  <c r="AD150" i="9"/>
  <c r="AD151" i="9"/>
  <c r="AD152" i="9"/>
  <c r="AD153" i="9"/>
  <c r="AD154" i="9"/>
  <c r="AD155" i="9"/>
  <c r="AD156" i="9"/>
  <c r="AD157" i="9"/>
  <c r="AD158" i="9"/>
  <c r="AD159" i="9"/>
  <c r="AD160" i="9"/>
  <c r="AD161" i="9"/>
  <c r="AD162" i="9"/>
  <c r="AD163" i="9"/>
  <c r="AD164" i="9"/>
  <c r="AD165" i="9"/>
  <c r="AD166" i="9"/>
  <c r="AD167" i="9"/>
  <c r="AD168" i="9"/>
  <c r="AD169" i="9"/>
  <c r="AD170" i="9"/>
  <c r="AD171" i="9"/>
  <c r="AD172" i="9"/>
  <c r="AD173" i="9"/>
  <c r="AD174" i="9"/>
  <c r="AD175" i="9"/>
  <c r="AD176" i="9"/>
  <c r="AD177" i="9"/>
  <c r="AD178" i="9"/>
  <c r="AD179" i="9"/>
  <c r="AD180" i="9"/>
  <c r="AD181" i="9"/>
  <c r="AD182" i="9"/>
  <c r="AD183" i="9"/>
  <c r="AD184" i="9"/>
  <c r="AD185" i="9"/>
  <c r="AD186" i="9"/>
  <c r="AD187" i="9"/>
  <c r="AD188" i="9"/>
  <c r="AD189" i="9"/>
  <c r="AD190" i="9"/>
  <c r="AD191" i="9"/>
  <c r="AD192" i="9"/>
  <c r="AD193" i="9"/>
  <c r="AD194" i="9"/>
  <c r="AD195" i="9"/>
  <c r="AD196" i="9"/>
  <c r="AD197" i="9"/>
  <c r="AD198" i="9"/>
  <c r="AD199" i="9"/>
  <c r="AD200" i="9"/>
  <c r="AD201" i="9"/>
  <c r="AD202" i="9"/>
  <c r="AD203" i="9"/>
  <c r="AD204" i="9"/>
  <c r="AD205" i="9"/>
  <c r="AD206" i="9"/>
  <c r="AD207" i="9"/>
  <c r="AD208" i="9"/>
  <c r="AD209" i="9"/>
  <c r="AD210" i="9"/>
  <c r="AD211" i="9"/>
  <c r="AD212" i="9"/>
  <c r="AD213" i="9"/>
  <c r="AD214" i="9"/>
  <c r="AD215" i="9"/>
  <c r="AD216" i="9"/>
  <c r="AD217" i="9"/>
  <c r="AD218" i="9"/>
  <c r="AD219" i="9"/>
  <c r="AD220" i="9"/>
  <c r="AD221" i="9"/>
  <c r="AD222" i="9"/>
  <c r="AD223" i="9"/>
  <c r="AD224" i="9"/>
  <c r="AD225" i="9"/>
  <c r="AD226" i="9"/>
  <c r="AD227" i="9"/>
  <c r="AD228" i="9"/>
  <c r="AD229" i="9"/>
  <c r="AD230" i="9"/>
  <c r="AD231" i="9"/>
  <c r="AD232" i="9"/>
  <c r="AD233" i="9"/>
  <c r="AD234" i="9"/>
  <c r="AD235" i="9"/>
  <c r="AD236" i="9"/>
  <c r="AD237" i="9"/>
  <c r="AD238" i="9"/>
  <c r="AD239" i="9"/>
  <c r="AD240" i="9"/>
  <c r="AD241" i="9"/>
  <c r="AD242" i="9"/>
  <c r="AD243" i="9"/>
  <c r="AD244" i="9"/>
  <c r="AD245" i="9"/>
  <c r="AD246" i="9"/>
  <c r="AD247" i="9"/>
  <c r="AD248" i="9"/>
  <c r="AD249" i="9"/>
  <c r="AD250" i="9"/>
  <c r="AD251" i="9"/>
  <c r="AD252" i="9"/>
  <c r="AD253" i="9"/>
  <c r="AD254" i="9"/>
  <c r="AD255" i="9"/>
  <c r="AD256" i="9"/>
  <c r="AD257" i="9"/>
  <c r="AD258" i="9"/>
  <c r="AD259" i="9"/>
  <c r="AD260" i="9"/>
  <c r="AD261" i="9"/>
  <c r="AD262" i="9"/>
  <c r="AD263" i="9"/>
  <c r="AD264" i="9"/>
  <c r="AD265" i="9"/>
  <c r="AD266" i="9"/>
  <c r="AD267" i="9"/>
  <c r="AD268" i="9"/>
  <c r="AD269" i="9"/>
  <c r="AD270" i="9"/>
  <c r="AD271" i="9"/>
  <c r="AD272" i="9"/>
  <c r="AD273" i="9"/>
  <c r="AD274" i="9"/>
  <c r="AD275" i="9"/>
  <c r="AD276" i="9"/>
  <c r="AD277" i="9"/>
  <c r="AD278" i="9"/>
  <c r="AD279" i="9"/>
  <c r="AD280" i="9"/>
  <c r="AD281" i="9"/>
  <c r="AD282" i="9"/>
  <c r="AD283" i="9"/>
  <c r="AD284" i="9"/>
  <c r="AD285" i="9"/>
  <c r="AD286" i="9"/>
  <c r="AD287" i="9"/>
  <c r="AD288" i="9"/>
  <c r="AD289" i="9"/>
  <c r="AD290" i="9"/>
  <c r="AD291" i="9"/>
  <c r="AD292" i="9"/>
  <c r="AD293" i="9"/>
  <c r="AD294" i="9"/>
  <c r="AD295" i="9"/>
  <c r="AD296" i="9"/>
  <c r="AD297" i="9"/>
  <c r="AD298" i="9"/>
  <c r="AD299" i="9"/>
  <c r="AD300" i="9"/>
  <c r="AD301" i="9"/>
  <c r="AD302" i="9"/>
  <c r="AD303" i="9"/>
  <c r="AD304" i="9"/>
  <c r="AD305" i="9"/>
  <c r="AD13" i="9"/>
  <c r="V12" i="9"/>
  <c r="W12" i="9"/>
  <c r="X12" i="9"/>
  <c r="Y12" i="9"/>
  <c r="Z12" i="9"/>
  <c r="AA12" i="9"/>
  <c r="AB12" i="9"/>
  <c r="AC12" i="9"/>
  <c r="T12" i="9"/>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P172" i="8"/>
  <c r="P173" i="8"/>
  <c r="P174" i="8"/>
  <c r="P175" i="8"/>
  <c r="P176" i="8"/>
  <c r="P177" i="8"/>
  <c r="P178" i="8"/>
  <c r="P179" i="8"/>
  <c r="P180" i="8"/>
  <c r="P181" i="8"/>
  <c r="P182" i="8"/>
  <c r="P183" i="8"/>
  <c r="P184" i="8"/>
  <c r="P185" i="8"/>
  <c r="P186" i="8"/>
  <c r="P187" i="8"/>
  <c r="P188" i="8"/>
  <c r="P189" i="8"/>
  <c r="P190" i="8"/>
  <c r="P191" i="8"/>
  <c r="P192" i="8"/>
  <c r="P193" i="8"/>
  <c r="P194" i="8"/>
  <c r="P195" i="8"/>
  <c r="P196" i="8"/>
  <c r="P197" i="8"/>
  <c r="P198" i="8"/>
  <c r="P199" i="8"/>
  <c r="P200" i="8"/>
  <c r="P201" i="8"/>
  <c r="P202" i="8"/>
  <c r="P203" i="8"/>
  <c r="P204" i="8"/>
  <c r="P205" i="8"/>
  <c r="P206" i="8"/>
  <c r="P207" i="8"/>
  <c r="P208" i="8"/>
  <c r="P209" i="8"/>
  <c r="P210" i="8"/>
  <c r="P211" i="8"/>
  <c r="P212" i="8"/>
  <c r="P213" i="8"/>
  <c r="P214" i="8"/>
  <c r="P215" i="8"/>
  <c r="P216" i="8"/>
  <c r="P217" i="8"/>
  <c r="P218" i="8"/>
  <c r="P219" i="8"/>
  <c r="P220" i="8"/>
  <c r="P221" i="8"/>
  <c r="P222" i="8"/>
  <c r="P223" i="8"/>
  <c r="P224" i="8"/>
  <c r="P225" i="8"/>
  <c r="P226" i="8"/>
  <c r="P227" i="8"/>
  <c r="P228" i="8"/>
  <c r="P229" i="8"/>
  <c r="P230" i="8"/>
  <c r="P231" i="8"/>
  <c r="P232" i="8"/>
  <c r="P233" i="8"/>
  <c r="P234" i="8"/>
  <c r="P235" i="8"/>
  <c r="P236" i="8"/>
  <c r="P237" i="8"/>
  <c r="P238" i="8"/>
  <c r="P239" i="8"/>
  <c r="P240" i="8"/>
  <c r="P241" i="8"/>
  <c r="P242" i="8"/>
  <c r="P243" i="8"/>
  <c r="P244" i="8"/>
  <c r="P245" i="8"/>
  <c r="P246" i="8"/>
  <c r="P247" i="8"/>
  <c r="P248" i="8"/>
  <c r="P249" i="8"/>
  <c r="P250" i="8"/>
  <c r="P251" i="8"/>
  <c r="P252" i="8"/>
  <c r="P253" i="8"/>
  <c r="P254" i="8"/>
  <c r="P255" i="8"/>
  <c r="P256" i="8"/>
  <c r="P257" i="8"/>
  <c r="P258" i="8"/>
  <c r="P259" i="8"/>
  <c r="P260" i="8"/>
  <c r="P261" i="8"/>
  <c r="P262" i="8"/>
  <c r="P263" i="8"/>
  <c r="P264" i="8"/>
  <c r="P265" i="8"/>
  <c r="P266" i="8"/>
  <c r="P267" i="8"/>
  <c r="P268" i="8"/>
  <c r="P269" i="8"/>
  <c r="P270" i="8"/>
  <c r="P271" i="8"/>
  <c r="P272" i="8"/>
  <c r="P273" i="8"/>
  <c r="P274" i="8"/>
  <c r="P275" i="8"/>
  <c r="P276" i="8"/>
  <c r="P277" i="8"/>
  <c r="P278" i="8"/>
  <c r="P279" i="8"/>
  <c r="P280" i="8"/>
  <c r="P281" i="8"/>
  <c r="P282" i="8"/>
  <c r="P283" i="8"/>
  <c r="P284" i="8"/>
  <c r="P285" i="8"/>
  <c r="P286" i="8"/>
  <c r="P287" i="8"/>
  <c r="P288" i="8"/>
  <c r="P289" i="8"/>
  <c r="P290" i="8"/>
  <c r="P291" i="8"/>
  <c r="P292" i="8"/>
  <c r="P293" i="8"/>
  <c r="P294" i="8"/>
  <c r="P295" i="8"/>
  <c r="P296" i="8"/>
  <c r="P297" i="8"/>
  <c r="P298" i="8"/>
  <c r="P299" i="8"/>
  <c r="P7" i="8"/>
  <c r="K6" i="8"/>
  <c r="L6" i="8"/>
  <c r="M6" i="8"/>
  <c r="N6" i="8"/>
  <c r="O6" i="8"/>
  <c r="I6" i="8"/>
  <c r="C7" i="8"/>
  <c r="L14" i="9" l="1"/>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1" i="9"/>
  <c r="L272" i="9"/>
  <c r="L273"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13" i="9"/>
  <c r="O6" i="7" l="1"/>
  <c r="L4" i="11" l="1"/>
  <c r="O4" i="11" l="1"/>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C12" i="9"/>
  <c r="C8" i="8" l="1"/>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Q6" i="7" l="1"/>
  <c r="R300" i="7" l="1"/>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F8" i="7" l="1"/>
  <c r="I8" i="7" s="1"/>
  <c r="L8" i="7" s="1"/>
  <c r="F9" i="7"/>
  <c r="I9" i="7" s="1"/>
  <c r="L9" i="7" s="1"/>
  <c r="F10" i="7"/>
  <c r="I10" i="7" s="1"/>
  <c r="L10" i="7" s="1"/>
  <c r="F11" i="7"/>
  <c r="I11" i="7" s="1"/>
  <c r="L11" i="7" s="1"/>
  <c r="F12" i="7"/>
  <c r="I12" i="7" s="1"/>
  <c r="L12" i="7" s="1"/>
  <c r="F13" i="7"/>
  <c r="I13" i="7" s="1"/>
  <c r="L13" i="7" s="1"/>
  <c r="F14" i="7"/>
  <c r="I14" i="7" s="1"/>
  <c r="L14" i="7" s="1"/>
  <c r="F15" i="7"/>
  <c r="I15" i="7" s="1"/>
  <c r="L15" i="7" s="1"/>
  <c r="F16" i="7"/>
  <c r="I16" i="7" s="1"/>
  <c r="L16" i="7" s="1"/>
  <c r="F17" i="7"/>
  <c r="I17" i="7" s="1"/>
  <c r="L17" i="7" s="1"/>
  <c r="F18" i="7"/>
  <c r="I18" i="7" s="1"/>
  <c r="L18" i="7" s="1"/>
  <c r="F19" i="7"/>
  <c r="I19" i="7" s="1"/>
  <c r="L19" i="7" s="1"/>
  <c r="F20" i="7"/>
  <c r="I20" i="7" s="1"/>
  <c r="L20" i="7" s="1"/>
  <c r="F21" i="7"/>
  <c r="I21" i="7" s="1"/>
  <c r="L21" i="7" s="1"/>
  <c r="F22" i="7"/>
  <c r="I22" i="7" s="1"/>
  <c r="L22" i="7" s="1"/>
  <c r="F23" i="7"/>
  <c r="I23" i="7" s="1"/>
  <c r="L23" i="7" s="1"/>
  <c r="F24" i="7"/>
  <c r="I24" i="7" s="1"/>
  <c r="L24" i="7" s="1"/>
  <c r="F25" i="7"/>
  <c r="I25" i="7" s="1"/>
  <c r="L25" i="7" s="1"/>
  <c r="F26" i="7"/>
  <c r="I26" i="7" s="1"/>
  <c r="L26" i="7" s="1"/>
  <c r="F27" i="7"/>
  <c r="I27" i="7" s="1"/>
  <c r="L27" i="7" s="1"/>
  <c r="F28" i="7"/>
  <c r="I28" i="7" s="1"/>
  <c r="L28" i="7" s="1"/>
  <c r="F29" i="7"/>
  <c r="I29" i="7" s="1"/>
  <c r="L29" i="7" s="1"/>
  <c r="F30" i="7"/>
  <c r="I30" i="7" s="1"/>
  <c r="L30" i="7" s="1"/>
  <c r="F31" i="7"/>
  <c r="I31" i="7" s="1"/>
  <c r="L31" i="7" s="1"/>
  <c r="F32" i="7"/>
  <c r="I32" i="7" s="1"/>
  <c r="L32" i="7" s="1"/>
  <c r="F33" i="7"/>
  <c r="I33" i="7" s="1"/>
  <c r="L33" i="7" s="1"/>
  <c r="F34" i="7"/>
  <c r="I34" i="7" s="1"/>
  <c r="L34" i="7" s="1"/>
  <c r="F35" i="7"/>
  <c r="I35" i="7" s="1"/>
  <c r="L35" i="7" s="1"/>
  <c r="F36" i="7"/>
  <c r="I36" i="7" s="1"/>
  <c r="L36" i="7" s="1"/>
  <c r="F37" i="7"/>
  <c r="I37" i="7" s="1"/>
  <c r="L37" i="7" s="1"/>
  <c r="F38" i="7"/>
  <c r="I38" i="7" s="1"/>
  <c r="L38" i="7" s="1"/>
  <c r="F39" i="7"/>
  <c r="I39" i="7" s="1"/>
  <c r="L39" i="7" s="1"/>
  <c r="F40" i="7"/>
  <c r="I40" i="7" s="1"/>
  <c r="L40" i="7" s="1"/>
  <c r="F41" i="7"/>
  <c r="I41" i="7" s="1"/>
  <c r="L41" i="7" s="1"/>
  <c r="F42" i="7"/>
  <c r="I42" i="7" s="1"/>
  <c r="L42" i="7" s="1"/>
  <c r="F43" i="7"/>
  <c r="I43" i="7" s="1"/>
  <c r="L43" i="7" s="1"/>
  <c r="F44" i="7"/>
  <c r="I44" i="7" s="1"/>
  <c r="L44" i="7" s="1"/>
  <c r="F45" i="7"/>
  <c r="I45" i="7" s="1"/>
  <c r="L45" i="7" s="1"/>
  <c r="F46" i="7"/>
  <c r="I46" i="7" s="1"/>
  <c r="L46" i="7" s="1"/>
  <c r="F47" i="7"/>
  <c r="I47" i="7" s="1"/>
  <c r="L47" i="7" s="1"/>
  <c r="F48" i="7"/>
  <c r="I48" i="7" s="1"/>
  <c r="L48" i="7" s="1"/>
  <c r="F49" i="7"/>
  <c r="I49" i="7" s="1"/>
  <c r="L49" i="7" s="1"/>
  <c r="F50" i="7"/>
  <c r="I50" i="7" s="1"/>
  <c r="L50" i="7" s="1"/>
  <c r="F51" i="7"/>
  <c r="I51" i="7" s="1"/>
  <c r="L51" i="7" s="1"/>
  <c r="F52" i="7"/>
  <c r="I52" i="7" s="1"/>
  <c r="L52" i="7" s="1"/>
  <c r="F53" i="7"/>
  <c r="I53" i="7" s="1"/>
  <c r="L53" i="7" s="1"/>
  <c r="F54" i="7"/>
  <c r="I54" i="7" s="1"/>
  <c r="L54" i="7" s="1"/>
  <c r="F55" i="7"/>
  <c r="I55" i="7" s="1"/>
  <c r="L55" i="7" s="1"/>
  <c r="F56" i="7"/>
  <c r="I56" i="7" s="1"/>
  <c r="L56" i="7" s="1"/>
  <c r="F57" i="7"/>
  <c r="I57" i="7" s="1"/>
  <c r="L57" i="7" s="1"/>
  <c r="F58" i="7"/>
  <c r="I58" i="7" s="1"/>
  <c r="L58" i="7" s="1"/>
  <c r="F59" i="7"/>
  <c r="I59" i="7" s="1"/>
  <c r="L59" i="7" s="1"/>
  <c r="F60" i="7"/>
  <c r="I60" i="7" s="1"/>
  <c r="L60" i="7" s="1"/>
  <c r="F61" i="7"/>
  <c r="I61" i="7" s="1"/>
  <c r="L61" i="7" s="1"/>
  <c r="F62" i="7"/>
  <c r="I62" i="7" s="1"/>
  <c r="L62" i="7" s="1"/>
  <c r="F63" i="7"/>
  <c r="I63" i="7" s="1"/>
  <c r="L63" i="7" s="1"/>
  <c r="F64" i="7"/>
  <c r="I64" i="7" s="1"/>
  <c r="L64" i="7" s="1"/>
  <c r="F65" i="7"/>
  <c r="I65" i="7" s="1"/>
  <c r="L65" i="7" s="1"/>
  <c r="F66" i="7"/>
  <c r="I66" i="7" s="1"/>
  <c r="L66" i="7" s="1"/>
  <c r="F67" i="7"/>
  <c r="I67" i="7" s="1"/>
  <c r="L67" i="7" s="1"/>
  <c r="F68" i="7"/>
  <c r="I68" i="7" s="1"/>
  <c r="L68" i="7" s="1"/>
  <c r="F69" i="7"/>
  <c r="I69" i="7" s="1"/>
  <c r="L69" i="7" s="1"/>
  <c r="F70" i="7"/>
  <c r="I70" i="7" s="1"/>
  <c r="L70" i="7" s="1"/>
  <c r="F71" i="7"/>
  <c r="I71" i="7" s="1"/>
  <c r="L71" i="7" s="1"/>
  <c r="F72" i="7"/>
  <c r="I72" i="7" s="1"/>
  <c r="L72" i="7" s="1"/>
  <c r="F73" i="7"/>
  <c r="I73" i="7" s="1"/>
  <c r="L73" i="7" s="1"/>
  <c r="F74" i="7"/>
  <c r="I74" i="7" s="1"/>
  <c r="L74" i="7" s="1"/>
  <c r="F75" i="7"/>
  <c r="I75" i="7" s="1"/>
  <c r="L75" i="7" s="1"/>
  <c r="F76" i="7"/>
  <c r="I76" i="7" s="1"/>
  <c r="L76" i="7" s="1"/>
  <c r="F77" i="7"/>
  <c r="I77" i="7" s="1"/>
  <c r="L77" i="7" s="1"/>
  <c r="F78" i="7"/>
  <c r="I78" i="7" s="1"/>
  <c r="L78" i="7" s="1"/>
  <c r="F79" i="7"/>
  <c r="I79" i="7" s="1"/>
  <c r="L79" i="7" s="1"/>
  <c r="F80" i="7"/>
  <c r="I80" i="7" s="1"/>
  <c r="L80" i="7" s="1"/>
  <c r="F81" i="7"/>
  <c r="I81" i="7" s="1"/>
  <c r="L81" i="7" s="1"/>
  <c r="F82" i="7"/>
  <c r="I82" i="7" s="1"/>
  <c r="L82" i="7" s="1"/>
  <c r="F83" i="7"/>
  <c r="I83" i="7" s="1"/>
  <c r="L83" i="7" s="1"/>
  <c r="F84" i="7"/>
  <c r="I84" i="7" s="1"/>
  <c r="L84" i="7" s="1"/>
  <c r="F85" i="7"/>
  <c r="I85" i="7" s="1"/>
  <c r="L85" i="7" s="1"/>
  <c r="F86" i="7"/>
  <c r="I86" i="7" s="1"/>
  <c r="L86" i="7" s="1"/>
  <c r="F87" i="7"/>
  <c r="I87" i="7" s="1"/>
  <c r="L87" i="7" s="1"/>
  <c r="F88" i="7"/>
  <c r="I88" i="7" s="1"/>
  <c r="L88" i="7" s="1"/>
  <c r="F89" i="7"/>
  <c r="I89" i="7" s="1"/>
  <c r="L89" i="7" s="1"/>
  <c r="F90" i="7"/>
  <c r="I90" i="7" s="1"/>
  <c r="L90" i="7" s="1"/>
  <c r="F91" i="7"/>
  <c r="I91" i="7" s="1"/>
  <c r="L91" i="7" s="1"/>
  <c r="F92" i="7"/>
  <c r="I92" i="7" s="1"/>
  <c r="L92" i="7" s="1"/>
  <c r="F93" i="7"/>
  <c r="I93" i="7" s="1"/>
  <c r="L93" i="7" s="1"/>
  <c r="F94" i="7"/>
  <c r="I94" i="7" s="1"/>
  <c r="L94" i="7" s="1"/>
  <c r="F95" i="7"/>
  <c r="I95" i="7" s="1"/>
  <c r="L95" i="7" s="1"/>
  <c r="F96" i="7"/>
  <c r="I96" i="7" s="1"/>
  <c r="L96" i="7" s="1"/>
  <c r="F97" i="7"/>
  <c r="I97" i="7" s="1"/>
  <c r="L97" i="7" s="1"/>
  <c r="F98" i="7"/>
  <c r="I98" i="7" s="1"/>
  <c r="L98" i="7" s="1"/>
  <c r="F99" i="7"/>
  <c r="I99" i="7" s="1"/>
  <c r="L99" i="7" s="1"/>
  <c r="F100" i="7"/>
  <c r="I100" i="7" s="1"/>
  <c r="L100" i="7" s="1"/>
  <c r="F101" i="7"/>
  <c r="I101" i="7" s="1"/>
  <c r="L101" i="7" s="1"/>
  <c r="F102" i="7"/>
  <c r="I102" i="7" s="1"/>
  <c r="L102" i="7" s="1"/>
  <c r="F103" i="7"/>
  <c r="I103" i="7" s="1"/>
  <c r="L103" i="7" s="1"/>
  <c r="F104" i="7"/>
  <c r="I104" i="7" s="1"/>
  <c r="L104" i="7" s="1"/>
  <c r="F105" i="7"/>
  <c r="I105" i="7" s="1"/>
  <c r="L105" i="7" s="1"/>
  <c r="F106" i="7"/>
  <c r="I106" i="7" s="1"/>
  <c r="L106" i="7" s="1"/>
  <c r="F107" i="7"/>
  <c r="I107" i="7" s="1"/>
  <c r="L107" i="7" s="1"/>
  <c r="F108" i="7"/>
  <c r="I108" i="7" s="1"/>
  <c r="L108" i="7" s="1"/>
  <c r="F109" i="7"/>
  <c r="I109" i="7" s="1"/>
  <c r="L109" i="7" s="1"/>
  <c r="F110" i="7"/>
  <c r="I110" i="7" s="1"/>
  <c r="L110" i="7" s="1"/>
  <c r="F111" i="7"/>
  <c r="I111" i="7" s="1"/>
  <c r="L111" i="7" s="1"/>
  <c r="F112" i="7"/>
  <c r="I112" i="7" s="1"/>
  <c r="L112" i="7" s="1"/>
  <c r="F113" i="7"/>
  <c r="I113" i="7" s="1"/>
  <c r="L113" i="7" s="1"/>
  <c r="F114" i="7"/>
  <c r="I114" i="7" s="1"/>
  <c r="L114" i="7" s="1"/>
  <c r="F115" i="7"/>
  <c r="I115" i="7" s="1"/>
  <c r="L115" i="7" s="1"/>
  <c r="F116" i="7"/>
  <c r="I116" i="7" s="1"/>
  <c r="L116" i="7" s="1"/>
  <c r="F117" i="7"/>
  <c r="I117" i="7" s="1"/>
  <c r="L117" i="7" s="1"/>
  <c r="F118" i="7"/>
  <c r="I118" i="7" s="1"/>
  <c r="L118" i="7" s="1"/>
  <c r="F119" i="7"/>
  <c r="I119" i="7" s="1"/>
  <c r="L119" i="7" s="1"/>
  <c r="F120" i="7"/>
  <c r="I120" i="7" s="1"/>
  <c r="L120" i="7" s="1"/>
  <c r="F121" i="7"/>
  <c r="I121" i="7" s="1"/>
  <c r="L121" i="7" s="1"/>
  <c r="F122" i="7"/>
  <c r="I122" i="7" s="1"/>
  <c r="L122" i="7" s="1"/>
  <c r="F123" i="7"/>
  <c r="I123" i="7" s="1"/>
  <c r="L123" i="7" s="1"/>
  <c r="F124" i="7"/>
  <c r="I124" i="7" s="1"/>
  <c r="L124" i="7" s="1"/>
  <c r="F125" i="7"/>
  <c r="I125" i="7" s="1"/>
  <c r="L125" i="7" s="1"/>
  <c r="F126" i="7"/>
  <c r="I126" i="7" s="1"/>
  <c r="L126" i="7" s="1"/>
  <c r="F127" i="7"/>
  <c r="I127" i="7" s="1"/>
  <c r="L127" i="7" s="1"/>
  <c r="F128" i="7"/>
  <c r="I128" i="7" s="1"/>
  <c r="L128" i="7" s="1"/>
  <c r="F129" i="7"/>
  <c r="I129" i="7" s="1"/>
  <c r="L129" i="7" s="1"/>
  <c r="F130" i="7"/>
  <c r="I130" i="7" s="1"/>
  <c r="L130" i="7" s="1"/>
  <c r="F131" i="7"/>
  <c r="I131" i="7" s="1"/>
  <c r="L131" i="7" s="1"/>
  <c r="F132" i="7"/>
  <c r="I132" i="7" s="1"/>
  <c r="L132" i="7" s="1"/>
  <c r="F133" i="7"/>
  <c r="I133" i="7" s="1"/>
  <c r="L133" i="7" s="1"/>
  <c r="F134" i="7"/>
  <c r="I134" i="7" s="1"/>
  <c r="L134" i="7" s="1"/>
  <c r="F135" i="7"/>
  <c r="I135" i="7" s="1"/>
  <c r="L135" i="7" s="1"/>
  <c r="F136" i="7"/>
  <c r="I136" i="7" s="1"/>
  <c r="L136" i="7" s="1"/>
  <c r="F137" i="7"/>
  <c r="I137" i="7" s="1"/>
  <c r="L137" i="7" s="1"/>
  <c r="F138" i="7"/>
  <c r="I138" i="7" s="1"/>
  <c r="L138" i="7" s="1"/>
  <c r="F139" i="7"/>
  <c r="I139" i="7" s="1"/>
  <c r="L139" i="7" s="1"/>
  <c r="F140" i="7"/>
  <c r="I140" i="7" s="1"/>
  <c r="L140" i="7" s="1"/>
  <c r="F141" i="7"/>
  <c r="I141" i="7" s="1"/>
  <c r="L141" i="7" s="1"/>
  <c r="F142" i="7"/>
  <c r="I142" i="7" s="1"/>
  <c r="L142" i="7" s="1"/>
  <c r="F143" i="7"/>
  <c r="I143" i="7" s="1"/>
  <c r="L143" i="7" s="1"/>
  <c r="F144" i="7"/>
  <c r="I144" i="7" s="1"/>
  <c r="L144" i="7" s="1"/>
  <c r="F145" i="7"/>
  <c r="I145" i="7" s="1"/>
  <c r="L145" i="7" s="1"/>
  <c r="F146" i="7"/>
  <c r="I146" i="7" s="1"/>
  <c r="L146" i="7" s="1"/>
  <c r="F147" i="7"/>
  <c r="I147" i="7" s="1"/>
  <c r="L147" i="7" s="1"/>
  <c r="F148" i="7"/>
  <c r="I148" i="7" s="1"/>
  <c r="L148" i="7" s="1"/>
  <c r="F149" i="7"/>
  <c r="I149" i="7" s="1"/>
  <c r="L149" i="7" s="1"/>
  <c r="F150" i="7"/>
  <c r="I150" i="7" s="1"/>
  <c r="L150" i="7" s="1"/>
  <c r="F151" i="7"/>
  <c r="I151" i="7" s="1"/>
  <c r="L151" i="7" s="1"/>
  <c r="F152" i="7"/>
  <c r="I152" i="7" s="1"/>
  <c r="L152" i="7" s="1"/>
  <c r="F153" i="7"/>
  <c r="I153" i="7" s="1"/>
  <c r="L153" i="7" s="1"/>
  <c r="F154" i="7"/>
  <c r="I154" i="7" s="1"/>
  <c r="L154" i="7" s="1"/>
  <c r="F155" i="7"/>
  <c r="I155" i="7" s="1"/>
  <c r="L155" i="7" s="1"/>
  <c r="F156" i="7"/>
  <c r="I156" i="7" s="1"/>
  <c r="L156" i="7" s="1"/>
  <c r="F157" i="7"/>
  <c r="I157" i="7" s="1"/>
  <c r="L157" i="7" s="1"/>
  <c r="F158" i="7"/>
  <c r="I158" i="7" s="1"/>
  <c r="L158" i="7" s="1"/>
  <c r="F159" i="7"/>
  <c r="I159" i="7" s="1"/>
  <c r="L159" i="7" s="1"/>
  <c r="F160" i="7"/>
  <c r="I160" i="7" s="1"/>
  <c r="L160" i="7" s="1"/>
  <c r="F161" i="7"/>
  <c r="I161" i="7" s="1"/>
  <c r="L161" i="7" s="1"/>
  <c r="F162" i="7"/>
  <c r="I162" i="7" s="1"/>
  <c r="L162" i="7" s="1"/>
  <c r="F163" i="7"/>
  <c r="I163" i="7" s="1"/>
  <c r="L163" i="7" s="1"/>
  <c r="F164" i="7"/>
  <c r="I164" i="7" s="1"/>
  <c r="L164" i="7" s="1"/>
  <c r="F165" i="7"/>
  <c r="I165" i="7" s="1"/>
  <c r="L165" i="7" s="1"/>
  <c r="F166" i="7"/>
  <c r="I166" i="7" s="1"/>
  <c r="L166" i="7" s="1"/>
  <c r="F167" i="7"/>
  <c r="I167" i="7" s="1"/>
  <c r="L167" i="7" s="1"/>
  <c r="F168" i="7"/>
  <c r="I168" i="7" s="1"/>
  <c r="L168" i="7" s="1"/>
  <c r="F169" i="7"/>
  <c r="I169" i="7" s="1"/>
  <c r="L169" i="7" s="1"/>
  <c r="F170" i="7"/>
  <c r="I170" i="7" s="1"/>
  <c r="L170" i="7" s="1"/>
  <c r="F171" i="7"/>
  <c r="I171" i="7" s="1"/>
  <c r="L171" i="7" s="1"/>
  <c r="F172" i="7"/>
  <c r="I172" i="7" s="1"/>
  <c r="L172" i="7" s="1"/>
  <c r="F173" i="7"/>
  <c r="I173" i="7" s="1"/>
  <c r="L173" i="7" s="1"/>
  <c r="F174" i="7"/>
  <c r="I174" i="7" s="1"/>
  <c r="L174" i="7" s="1"/>
  <c r="F175" i="7"/>
  <c r="I175" i="7" s="1"/>
  <c r="L175" i="7" s="1"/>
  <c r="F176" i="7"/>
  <c r="I176" i="7" s="1"/>
  <c r="L176" i="7" s="1"/>
  <c r="F177" i="7"/>
  <c r="I177" i="7" s="1"/>
  <c r="L177" i="7" s="1"/>
  <c r="F178" i="7"/>
  <c r="I178" i="7" s="1"/>
  <c r="L178" i="7" s="1"/>
  <c r="F179" i="7"/>
  <c r="I179" i="7" s="1"/>
  <c r="L179" i="7" s="1"/>
  <c r="F180" i="7"/>
  <c r="I180" i="7" s="1"/>
  <c r="L180" i="7" s="1"/>
  <c r="F181" i="7"/>
  <c r="I181" i="7" s="1"/>
  <c r="L181" i="7" s="1"/>
  <c r="F182" i="7"/>
  <c r="I182" i="7" s="1"/>
  <c r="L182" i="7" s="1"/>
  <c r="F183" i="7"/>
  <c r="I183" i="7" s="1"/>
  <c r="L183" i="7" s="1"/>
  <c r="F184" i="7"/>
  <c r="I184" i="7" s="1"/>
  <c r="L184" i="7" s="1"/>
  <c r="F185" i="7"/>
  <c r="I185" i="7" s="1"/>
  <c r="L185" i="7" s="1"/>
  <c r="F186" i="7"/>
  <c r="I186" i="7" s="1"/>
  <c r="L186" i="7" s="1"/>
  <c r="F187" i="7"/>
  <c r="I187" i="7" s="1"/>
  <c r="L187" i="7" s="1"/>
  <c r="F188" i="7"/>
  <c r="I188" i="7" s="1"/>
  <c r="L188" i="7" s="1"/>
  <c r="F189" i="7"/>
  <c r="I189" i="7" s="1"/>
  <c r="L189" i="7" s="1"/>
  <c r="F190" i="7"/>
  <c r="I190" i="7" s="1"/>
  <c r="L190" i="7" s="1"/>
  <c r="F191" i="7"/>
  <c r="I191" i="7" s="1"/>
  <c r="L191" i="7" s="1"/>
  <c r="F192" i="7"/>
  <c r="I192" i="7" s="1"/>
  <c r="L192" i="7" s="1"/>
  <c r="F193" i="7"/>
  <c r="I193" i="7" s="1"/>
  <c r="L193" i="7" s="1"/>
  <c r="F194" i="7"/>
  <c r="I194" i="7" s="1"/>
  <c r="L194" i="7" s="1"/>
  <c r="F195" i="7"/>
  <c r="I195" i="7" s="1"/>
  <c r="L195" i="7" s="1"/>
  <c r="F196" i="7"/>
  <c r="I196" i="7" s="1"/>
  <c r="L196" i="7" s="1"/>
  <c r="F197" i="7"/>
  <c r="I197" i="7" s="1"/>
  <c r="L197" i="7" s="1"/>
  <c r="F198" i="7"/>
  <c r="I198" i="7" s="1"/>
  <c r="L198" i="7" s="1"/>
  <c r="F199" i="7"/>
  <c r="I199" i="7" s="1"/>
  <c r="L199" i="7" s="1"/>
  <c r="F200" i="7"/>
  <c r="I200" i="7" s="1"/>
  <c r="L200" i="7" s="1"/>
  <c r="F201" i="7"/>
  <c r="I201" i="7" s="1"/>
  <c r="L201" i="7" s="1"/>
  <c r="F202" i="7"/>
  <c r="I202" i="7" s="1"/>
  <c r="L202" i="7" s="1"/>
  <c r="F203" i="7"/>
  <c r="I203" i="7" s="1"/>
  <c r="L203" i="7" s="1"/>
  <c r="F204" i="7"/>
  <c r="I204" i="7" s="1"/>
  <c r="L204" i="7" s="1"/>
  <c r="F205" i="7"/>
  <c r="I205" i="7" s="1"/>
  <c r="L205" i="7" s="1"/>
  <c r="F206" i="7"/>
  <c r="I206" i="7" s="1"/>
  <c r="L206" i="7" s="1"/>
  <c r="F207" i="7"/>
  <c r="I207" i="7" s="1"/>
  <c r="L207" i="7" s="1"/>
  <c r="F208" i="7"/>
  <c r="I208" i="7" s="1"/>
  <c r="L208" i="7" s="1"/>
  <c r="F209" i="7"/>
  <c r="I209" i="7" s="1"/>
  <c r="L209" i="7" s="1"/>
  <c r="F210" i="7"/>
  <c r="I210" i="7" s="1"/>
  <c r="L210" i="7" s="1"/>
  <c r="F211" i="7"/>
  <c r="I211" i="7" s="1"/>
  <c r="L211" i="7" s="1"/>
  <c r="F212" i="7"/>
  <c r="I212" i="7" s="1"/>
  <c r="L212" i="7" s="1"/>
  <c r="F213" i="7"/>
  <c r="I213" i="7" s="1"/>
  <c r="L213" i="7" s="1"/>
  <c r="F214" i="7"/>
  <c r="I214" i="7" s="1"/>
  <c r="L214" i="7" s="1"/>
  <c r="F215" i="7"/>
  <c r="I215" i="7" s="1"/>
  <c r="L215" i="7" s="1"/>
  <c r="F216" i="7"/>
  <c r="I216" i="7" s="1"/>
  <c r="L216" i="7" s="1"/>
  <c r="F217" i="7"/>
  <c r="I217" i="7" s="1"/>
  <c r="L217" i="7" s="1"/>
  <c r="F218" i="7"/>
  <c r="I218" i="7" s="1"/>
  <c r="L218" i="7" s="1"/>
  <c r="F219" i="7"/>
  <c r="I219" i="7" s="1"/>
  <c r="L219" i="7" s="1"/>
  <c r="F220" i="7"/>
  <c r="I220" i="7" s="1"/>
  <c r="L220" i="7" s="1"/>
  <c r="F221" i="7"/>
  <c r="I221" i="7" s="1"/>
  <c r="L221" i="7" s="1"/>
  <c r="F222" i="7"/>
  <c r="I222" i="7" s="1"/>
  <c r="L222" i="7" s="1"/>
  <c r="F223" i="7"/>
  <c r="I223" i="7" s="1"/>
  <c r="L223" i="7" s="1"/>
  <c r="F224" i="7"/>
  <c r="I224" i="7" s="1"/>
  <c r="L224" i="7" s="1"/>
  <c r="F225" i="7"/>
  <c r="I225" i="7" s="1"/>
  <c r="L225" i="7" s="1"/>
  <c r="F226" i="7"/>
  <c r="I226" i="7" s="1"/>
  <c r="L226" i="7" s="1"/>
  <c r="F227" i="7"/>
  <c r="I227" i="7" s="1"/>
  <c r="L227" i="7" s="1"/>
  <c r="F228" i="7"/>
  <c r="I228" i="7" s="1"/>
  <c r="L228" i="7" s="1"/>
  <c r="F229" i="7"/>
  <c r="I229" i="7" s="1"/>
  <c r="L229" i="7" s="1"/>
  <c r="F230" i="7"/>
  <c r="I230" i="7" s="1"/>
  <c r="L230" i="7" s="1"/>
  <c r="F231" i="7"/>
  <c r="I231" i="7" s="1"/>
  <c r="L231" i="7" s="1"/>
  <c r="F232" i="7"/>
  <c r="I232" i="7" s="1"/>
  <c r="L232" i="7" s="1"/>
  <c r="F233" i="7"/>
  <c r="I233" i="7" s="1"/>
  <c r="L233" i="7" s="1"/>
  <c r="F234" i="7"/>
  <c r="I234" i="7" s="1"/>
  <c r="L234" i="7" s="1"/>
  <c r="F235" i="7"/>
  <c r="I235" i="7" s="1"/>
  <c r="L235" i="7" s="1"/>
  <c r="F236" i="7"/>
  <c r="I236" i="7" s="1"/>
  <c r="L236" i="7" s="1"/>
  <c r="F237" i="7"/>
  <c r="I237" i="7" s="1"/>
  <c r="L237" i="7" s="1"/>
  <c r="F238" i="7"/>
  <c r="I238" i="7" s="1"/>
  <c r="L238" i="7" s="1"/>
  <c r="F239" i="7"/>
  <c r="I239" i="7" s="1"/>
  <c r="L239" i="7" s="1"/>
  <c r="F240" i="7"/>
  <c r="I240" i="7" s="1"/>
  <c r="L240" i="7" s="1"/>
  <c r="F241" i="7"/>
  <c r="I241" i="7" s="1"/>
  <c r="L241" i="7" s="1"/>
  <c r="F242" i="7"/>
  <c r="I242" i="7" s="1"/>
  <c r="L242" i="7" s="1"/>
  <c r="F243" i="7"/>
  <c r="I243" i="7" s="1"/>
  <c r="L243" i="7" s="1"/>
  <c r="F244" i="7"/>
  <c r="I244" i="7" s="1"/>
  <c r="L244" i="7" s="1"/>
  <c r="F245" i="7"/>
  <c r="I245" i="7" s="1"/>
  <c r="L245" i="7" s="1"/>
  <c r="F246" i="7"/>
  <c r="I246" i="7" s="1"/>
  <c r="L246" i="7" s="1"/>
  <c r="F247" i="7"/>
  <c r="I247" i="7" s="1"/>
  <c r="L247" i="7" s="1"/>
  <c r="F248" i="7"/>
  <c r="I248" i="7" s="1"/>
  <c r="L248" i="7" s="1"/>
  <c r="F249" i="7"/>
  <c r="I249" i="7" s="1"/>
  <c r="L249" i="7" s="1"/>
  <c r="F250" i="7"/>
  <c r="I250" i="7" s="1"/>
  <c r="L250" i="7" s="1"/>
  <c r="F251" i="7"/>
  <c r="I251" i="7" s="1"/>
  <c r="L251" i="7" s="1"/>
  <c r="F252" i="7"/>
  <c r="I252" i="7" s="1"/>
  <c r="L252" i="7" s="1"/>
  <c r="F253" i="7"/>
  <c r="I253" i="7" s="1"/>
  <c r="L253" i="7" s="1"/>
  <c r="F254" i="7"/>
  <c r="I254" i="7" s="1"/>
  <c r="L254" i="7" s="1"/>
  <c r="F255" i="7"/>
  <c r="I255" i="7" s="1"/>
  <c r="L255" i="7" s="1"/>
  <c r="F256" i="7"/>
  <c r="I256" i="7" s="1"/>
  <c r="L256" i="7" s="1"/>
  <c r="F257" i="7"/>
  <c r="I257" i="7" s="1"/>
  <c r="L257" i="7" s="1"/>
  <c r="F258" i="7"/>
  <c r="I258" i="7" s="1"/>
  <c r="L258" i="7" s="1"/>
  <c r="F259" i="7"/>
  <c r="I259" i="7" s="1"/>
  <c r="L259" i="7" s="1"/>
  <c r="F260" i="7"/>
  <c r="I260" i="7" s="1"/>
  <c r="L260" i="7" s="1"/>
  <c r="F261" i="7"/>
  <c r="I261" i="7" s="1"/>
  <c r="L261" i="7" s="1"/>
  <c r="F262" i="7"/>
  <c r="I262" i="7" s="1"/>
  <c r="L262" i="7" s="1"/>
  <c r="F263" i="7"/>
  <c r="I263" i="7" s="1"/>
  <c r="L263" i="7" s="1"/>
  <c r="F264" i="7"/>
  <c r="I264" i="7" s="1"/>
  <c r="L264" i="7" s="1"/>
  <c r="F265" i="7"/>
  <c r="I265" i="7" s="1"/>
  <c r="L265" i="7" s="1"/>
  <c r="F266" i="7"/>
  <c r="I266" i="7" s="1"/>
  <c r="L266" i="7" s="1"/>
  <c r="F267" i="7"/>
  <c r="I267" i="7" s="1"/>
  <c r="L267" i="7" s="1"/>
  <c r="F268" i="7"/>
  <c r="I268" i="7" s="1"/>
  <c r="L268" i="7" s="1"/>
  <c r="F269" i="7"/>
  <c r="I269" i="7" s="1"/>
  <c r="L269" i="7" s="1"/>
  <c r="F270" i="7"/>
  <c r="I270" i="7" s="1"/>
  <c r="L270" i="7" s="1"/>
  <c r="F271" i="7"/>
  <c r="I271" i="7" s="1"/>
  <c r="L271" i="7" s="1"/>
  <c r="F272" i="7"/>
  <c r="I272" i="7" s="1"/>
  <c r="L272" i="7" s="1"/>
  <c r="F273" i="7"/>
  <c r="I273" i="7" s="1"/>
  <c r="L273" i="7" s="1"/>
  <c r="F274" i="7"/>
  <c r="I274" i="7" s="1"/>
  <c r="L274" i="7" s="1"/>
  <c r="F275" i="7"/>
  <c r="I275" i="7" s="1"/>
  <c r="L275" i="7" s="1"/>
  <c r="F276" i="7"/>
  <c r="I276" i="7" s="1"/>
  <c r="L276" i="7" s="1"/>
  <c r="F277" i="7"/>
  <c r="I277" i="7" s="1"/>
  <c r="L277" i="7" s="1"/>
  <c r="F278" i="7"/>
  <c r="I278" i="7" s="1"/>
  <c r="L278" i="7" s="1"/>
  <c r="F279" i="7"/>
  <c r="I279" i="7" s="1"/>
  <c r="L279" i="7" s="1"/>
  <c r="F280" i="7"/>
  <c r="I280" i="7" s="1"/>
  <c r="L280" i="7" s="1"/>
  <c r="F281" i="7"/>
  <c r="I281" i="7" s="1"/>
  <c r="L281" i="7" s="1"/>
  <c r="F282" i="7"/>
  <c r="I282" i="7" s="1"/>
  <c r="L282" i="7" s="1"/>
  <c r="F283" i="7"/>
  <c r="I283" i="7" s="1"/>
  <c r="L283" i="7" s="1"/>
  <c r="F284" i="7"/>
  <c r="I284" i="7" s="1"/>
  <c r="L284" i="7" s="1"/>
  <c r="F285" i="7"/>
  <c r="I285" i="7" s="1"/>
  <c r="L285" i="7" s="1"/>
  <c r="F286" i="7"/>
  <c r="I286" i="7" s="1"/>
  <c r="L286" i="7" s="1"/>
  <c r="F287" i="7"/>
  <c r="I287" i="7" s="1"/>
  <c r="L287" i="7" s="1"/>
  <c r="F288" i="7"/>
  <c r="I288" i="7" s="1"/>
  <c r="L288" i="7" s="1"/>
  <c r="F289" i="7"/>
  <c r="I289" i="7" s="1"/>
  <c r="L289" i="7" s="1"/>
  <c r="F290" i="7"/>
  <c r="I290" i="7" s="1"/>
  <c r="L290" i="7" s="1"/>
  <c r="F291" i="7"/>
  <c r="I291" i="7" s="1"/>
  <c r="L291" i="7" s="1"/>
  <c r="F292" i="7"/>
  <c r="I292" i="7" s="1"/>
  <c r="L292" i="7" s="1"/>
  <c r="F293" i="7"/>
  <c r="I293" i="7" s="1"/>
  <c r="L293" i="7" s="1"/>
  <c r="F294" i="7"/>
  <c r="I294" i="7" s="1"/>
  <c r="L294" i="7" s="1"/>
  <c r="F295" i="7"/>
  <c r="I295" i="7" s="1"/>
  <c r="L295" i="7" s="1"/>
  <c r="F296" i="7"/>
  <c r="I296" i="7" s="1"/>
  <c r="L296" i="7" s="1"/>
  <c r="F297" i="7"/>
  <c r="I297" i="7" s="1"/>
  <c r="L297" i="7" s="1"/>
  <c r="F298" i="7"/>
  <c r="I298" i="7" s="1"/>
  <c r="L298" i="7" s="1"/>
  <c r="F299" i="7"/>
  <c r="I299" i="7" s="1"/>
  <c r="L299" i="7" s="1"/>
  <c r="F7" i="7"/>
  <c r="I7" i="7" s="1"/>
  <c r="M8" i="10"/>
  <c r="L7" i="7" l="1"/>
  <c r="N7" i="7" s="1"/>
  <c r="R7" i="7" s="1"/>
  <c r="P7" i="7" l="1"/>
  <c r="F12" i="12"/>
  <c r="G12" i="12" s="1"/>
  <c r="J6" i="7" l="1"/>
  <c r="U9" i="10" l="1"/>
  <c r="U8" i="10"/>
  <c r="M9" i="10" l="1"/>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7" i="10" l="1"/>
  <c r="J20" i="12" l="1"/>
  <c r="K20" i="12" s="1"/>
  <c r="J28" i="12"/>
  <c r="K28" i="12" s="1"/>
  <c r="J36" i="12"/>
  <c r="K36" i="12" s="1"/>
  <c r="J44" i="12"/>
  <c r="K44" i="12" s="1"/>
  <c r="J52" i="12"/>
  <c r="K52" i="12" s="1"/>
  <c r="J60" i="12"/>
  <c r="K60" i="12" s="1"/>
  <c r="J68" i="12"/>
  <c r="K68" i="12" s="1"/>
  <c r="J76" i="12"/>
  <c r="K76" i="12" s="1"/>
  <c r="J84" i="12"/>
  <c r="K84" i="12" s="1"/>
  <c r="J92" i="12"/>
  <c r="K92" i="12" s="1"/>
  <c r="J100" i="12"/>
  <c r="K100" i="12" s="1"/>
  <c r="J108" i="12"/>
  <c r="K108" i="12" s="1"/>
  <c r="J116" i="12"/>
  <c r="K116" i="12" s="1"/>
  <c r="J124" i="12"/>
  <c r="K124" i="12" s="1"/>
  <c r="J132" i="12"/>
  <c r="K132" i="12" s="1"/>
  <c r="J140" i="12"/>
  <c r="K140" i="12" s="1"/>
  <c r="J148" i="12"/>
  <c r="K148" i="12" s="1"/>
  <c r="J156" i="12"/>
  <c r="K156" i="12" s="1"/>
  <c r="J164" i="12"/>
  <c r="K164" i="12" s="1"/>
  <c r="J172" i="12"/>
  <c r="K172" i="12" s="1"/>
  <c r="J180" i="12"/>
  <c r="K180" i="12" s="1"/>
  <c r="J188" i="12"/>
  <c r="K188" i="12" s="1"/>
  <c r="J196" i="12"/>
  <c r="K196" i="12" s="1"/>
  <c r="J204" i="12"/>
  <c r="K204" i="12" s="1"/>
  <c r="J212" i="12"/>
  <c r="K212" i="12" s="1"/>
  <c r="J220" i="12"/>
  <c r="K220" i="12" s="1"/>
  <c r="J228" i="12"/>
  <c r="K228" i="12" s="1"/>
  <c r="J236" i="12"/>
  <c r="K236" i="12" s="1"/>
  <c r="J244" i="12"/>
  <c r="K244" i="12" s="1"/>
  <c r="J252" i="12"/>
  <c r="K252" i="12" s="1"/>
  <c r="J260" i="12"/>
  <c r="K260" i="12" s="1"/>
  <c r="J268" i="12"/>
  <c r="K268" i="12" s="1"/>
  <c r="J276" i="12"/>
  <c r="K276" i="12" s="1"/>
  <c r="J284" i="12"/>
  <c r="K284" i="12" s="1"/>
  <c r="J292" i="12"/>
  <c r="K292" i="12" s="1"/>
  <c r="J300" i="12"/>
  <c r="K300" i="12" s="1"/>
  <c r="J304" i="12"/>
  <c r="K304" i="12" s="1"/>
  <c r="J13" i="12"/>
  <c r="K13" i="12" s="1"/>
  <c r="J14" i="12"/>
  <c r="K14" i="12" s="1"/>
  <c r="J15" i="12"/>
  <c r="K15" i="12" s="1"/>
  <c r="J16" i="12"/>
  <c r="K16" i="12" s="1"/>
  <c r="J17" i="12"/>
  <c r="K17" i="12" s="1"/>
  <c r="J18" i="12"/>
  <c r="K18" i="12" s="1"/>
  <c r="J19" i="12"/>
  <c r="K19" i="12" s="1"/>
  <c r="J21" i="12"/>
  <c r="K21" i="12" s="1"/>
  <c r="J22" i="12"/>
  <c r="K22" i="12" s="1"/>
  <c r="J23" i="12"/>
  <c r="K23" i="12" s="1"/>
  <c r="J24" i="12"/>
  <c r="K24" i="12" s="1"/>
  <c r="J25" i="12"/>
  <c r="K25" i="12" s="1"/>
  <c r="J26" i="12"/>
  <c r="K26" i="12" s="1"/>
  <c r="J27" i="12"/>
  <c r="K27" i="12" s="1"/>
  <c r="J29" i="12"/>
  <c r="K29" i="12" s="1"/>
  <c r="J30" i="12"/>
  <c r="K30" i="12" s="1"/>
  <c r="J31" i="12"/>
  <c r="K31" i="12" s="1"/>
  <c r="J32" i="12"/>
  <c r="K32" i="12" s="1"/>
  <c r="J33" i="12"/>
  <c r="K33" i="12" s="1"/>
  <c r="J34" i="12"/>
  <c r="K34" i="12" s="1"/>
  <c r="J35" i="12"/>
  <c r="K35" i="12" s="1"/>
  <c r="J37" i="12"/>
  <c r="K37" i="12" s="1"/>
  <c r="J38" i="12"/>
  <c r="K38" i="12" s="1"/>
  <c r="J39" i="12"/>
  <c r="K39" i="12" s="1"/>
  <c r="J40" i="12"/>
  <c r="K40" i="12" s="1"/>
  <c r="J41" i="12"/>
  <c r="K41" i="12" s="1"/>
  <c r="J42" i="12"/>
  <c r="K42" i="12" s="1"/>
  <c r="J43" i="12"/>
  <c r="K43" i="12" s="1"/>
  <c r="J45" i="12"/>
  <c r="K45" i="12" s="1"/>
  <c r="J46" i="12"/>
  <c r="K46" i="12" s="1"/>
  <c r="J47" i="12"/>
  <c r="K47" i="12" s="1"/>
  <c r="J48" i="12"/>
  <c r="K48" i="12" s="1"/>
  <c r="J49" i="12"/>
  <c r="K49" i="12" s="1"/>
  <c r="J50" i="12"/>
  <c r="K50" i="12" s="1"/>
  <c r="J51" i="12"/>
  <c r="K51" i="12" s="1"/>
  <c r="J53" i="12"/>
  <c r="K53" i="12" s="1"/>
  <c r="J54" i="12"/>
  <c r="K54" i="12" s="1"/>
  <c r="J55" i="12"/>
  <c r="K55" i="12" s="1"/>
  <c r="J56" i="12"/>
  <c r="K56" i="12" s="1"/>
  <c r="J57" i="12"/>
  <c r="K57" i="12" s="1"/>
  <c r="J58" i="12"/>
  <c r="K58" i="12" s="1"/>
  <c r="J59" i="12"/>
  <c r="K59" i="12" s="1"/>
  <c r="J61" i="12"/>
  <c r="K61" i="12" s="1"/>
  <c r="J62" i="12"/>
  <c r="K62" i="12" s="1"/>
  <c r="J63" i="12"/>
  <c r="K63" i="12" s="1"/>
  <c r="J64" i="12"/>
  <c r="K64" i="12" s="1"/>
  <c r="J65" i="12"/>
  <c r="K65" i="12" s="1"/>
  <c r="J66" i="12"/>
  <c r="K66" i="12" s="1"/>
  <c r="J67" i="12"/>
  <c r="K67" i="12" s="1"/>
  <c r="J69" i="12"/>
  <c r="K69" i="12" s="1"/>
  <c r="J70" i="12"/>
  <c r="K70" i="12" s="1"/>
  <c r="J71" i="12"/>
  <c r="K71" i="12" s="1"/>
  <c r="J72" i="12"/>
  <c r="K72" i="12" s="1"/>
  <c r="J73" i="12"/>
  <c r="K73" i="12" s="1"/>
  <c r="J74" i="12"/>
  <c r="K74" i="12" s="1"/>
  <c r="J75" i="12"/>
  <c r="K75" i="12" s="1"/>
  <c r="J77" i="12"/>
  <c r="K77" i="12" s="1"/>
  <c r="J78" i="12"/>
  <c r="K78" i="12" s="1"/>
  <c r="J79" i="12"/>
  <c r="K79" i="12" s="1"/>
  <c r="J80" i="12"/>
  <c r="K80" i="12" s="1"/>
  <c r="J81" i="12"/>
  <c r="K81" i="12" s="1"/>
  <c r="J82" i="12"/>
  <c r="K82" i="12" s="1"/>
  <c r="J83" i="12"/>
  <c r="K83" i="12" s="1"/>
  <c r="J85" i="12"/>
  <c r="K85" i="12" s="1"/>
  <c r="J86" i="12"/>
  <c r="K86" i="12" s="1"/>
  <c r="J87" i="12"/>
  <c r="K87" i="12" s="1"/>
  <c r="J88" i="12"/>
  <c r="K88" i="12" s="1"/>
  <c r="J89" i="12"/>
  <c r="K89" i="12" s="1"/>
  <c r="J90" i="12"/>
  <c r="K90" i="12" s="1"/>
  <c r="J91" i="12"/>
  <c r="K91" i="12" s="1"/>
  <c r="J93" i="12"/>
  <c r="K93" i="12" s="1"/>
  <c r="J94" i="12"/>
  <c r="K94" i="12" s="1"/>
  <c r="J95" i="12"/>
  <c r="K95" i="12" s="1"/>
  <c r="J96" i="12"/>
  <c r="K96" i="12" s="1"/>
  <c r="J97" i="12"/>
  <c r="K97" i="12" s="1"/>
  <c r="J98" i="12"/>
  <c r="K98" i="12" s="1"/>
  <c r="J99" i="12"/>
  <c r="K99" i="12" s="1"/>
  <c r="J101" i="12"/>
  <c r="K101" i="12" s="1"/>
  <c r="J102" i="12"/>
  <c r="K102" i="12" s="1"/>
  <c r="J103" i="12"/>
  <c r="K103" i="12" s="1"/>
  <c r="J104" i="12"/>
  <c r="K104" i="12" s="1"/>
  <c r="J105" i="12"/>
  <c r="K105" i="12" s="1"/>
  <c r="J106" i="12"/>
  <c r="K106" i="12" s="1"/>
  <c r="J107" i="12"/>
  <c r="K107" i="12" s="1"/>
  <c r="J109" i="12"/>
  <c r="K109" i="12" s="1"/>
  <c r="J110" i="12"/>
  <c r="K110" i="12" s="1"/>
  <c r="J111" i="12"/>
  <c r="K111" i="12" s="1"/>
  <c r="J112" i="12"/>
  <c r="K112" i="12" s="1"/>
  <c r="J113" i="12"/>
  <c r="K113" i="12" s="1"/>
  <c r="J114" i="12"/>
  <c r="K114" i="12" s="1"/>
  <c r="J115" i="12"/>
  <c r="K115" i="12" s="1"/>
  <c r="J117" i="12"/>
  <c r="K117" i="12" s="1"/>
  <c r="J118" i="12"/>
  <c r="K118" i="12" s="1"/>
  <c r="J119" i="12"/>
  <c r="K119" i="12" s="1"/>
  <c r="J120" i="12"/>
  <c r="K120" i="12" s="1"/>
  <c r="J121" i="12"/>
  <c r="K121" i="12" s="1"/>
  <c r="J122" i="12"/>
  <c r="K122" i="12" s="1"/>
  <c r="J123" i="12"/>
  <c r="K123" i="12" s="1"/>
  <c r="J125" i="12"/>
  <c r="K125" i="12" s="1"/>
  <c r="J126" i="12"/>
  <c r="K126" i="12" s="1"/>
  <c r="J127" i="12"/>
  <c r="K127" i="12" s="1"/>
  <c r="J128" i="12"/>
  <c r="K128" i="12" s="1"/>
  <c r="J129" i="12"/>
  <c r="K129" i="12" s="1"/>
  <c r="J130" i="12"/>
  <c r="K130" i="12" s="1"/>
  <c r="J131" i="12"/>
  <c r="K131" i="12" s="1"/>
  <c r="J133" i="12"/>
  <c r="K133" i="12" s="1"/>
  <c r="J134" i="12"/>
  <c r="K134" i="12" s="1"/>
  <c r="J135" i="12"/>
  <c r="K135" i="12" s="1"/>
  <c r="J136" i="12"/>
  <c r="K136" i="12" s="1"/>
  <c r="J137" i="12"/>
  <c r="K137" i="12" s="1"/>
  <c r="J138" i="12"/>
  <c r="K138" i="12" s="1"/>
  <c r="J139" i="12"/>
  <c r="K139" i="12" s="1"/>
  <c r="J141" i="12"/>
  <c r="K141" i="12" s="1"/>
  <c r="J142" i="12"/>
  <c r="K142" i="12" s="1"/>
  <c r="J143" i="12"/>
  <c r="K143" i="12" s="1"/>
  <c r="J144" i="12"/>
  <c r="K144" i="12" s="1"/>
  <c r="J145" i="12"/>
  <c r="K145" i="12" s="1"/>
  <c r="J146" i="12"/>
  <c r="K146" i="12" s="1"/>
  <c r="J147" i="12"/>
  <c r="K147" i="12" s="1"/>
  <c r="J149" i="12"/>
  <c r="K149" i="12" s="1"/>
  <c r="J150" i="12"/>
  <c r="K150" i="12" s="1"/>
  <c r="J151" i="12"/>
  <c r="K151" i="12" s="1"/>
  <c r="J152" i="12"/>
  <c r="K152" i="12" s="1"/>
  <c r="J153" i="12"/>
  <c r="K153" i="12" s="1"/>
  <c r="J154" i="12"/>
  <c r="K154" i="12" s="1"/>
  <c r="J155" i="12"/>
  <c r="K155" i="12" s="1"/>
  <c r="J157" i="12"/>
  <c r="K157" i="12" s="1"/>
  <c r="J158" i="12"/>
  <c r="K158" i="12" s="1"/>
  <c r="J159" i="12"/>
  <c r="K159" i="12" s="1"/>
  <c r="J160" i="12"/>
  <c r="K160" i="12" s="1"/>
  <c r="J161" i="12"/>
  <c r="K161" i="12" s="1"/>
  <c r="J162" i="12"/>
  <c r="K162" i="12" s="1"/>
  <c r="J163" i="12"/>
  <c r="K163" i="12" s="1"/>
  <c r="J165" i="12"/>
  <c r="K165" i="12" s="1"/>
  <c r="J166" i="12"/>
  <c r="K166" i="12" s="1"/>
  <c r="J167" i="12"/>
  <c r="K167" i="12" s="1"/>
  <c r="J168" i="12"/>
  <c r="K168" i="12" s="1"/>
  <c r="J169" i="12"/>
  <c r="K169" i="12" s="1"/>
  <c r="J170" i="12"/>
  <c r="K170" i="12" s="1"/>
  <c r="J171" i="12"/>
  <c r="K171" i="12" s="1"/>
  <c r="J173" i="12"/>
  <c r="K173" i="12" s="1"/>
  <c r="J174" i="12"/>
  <c r="K174" i="12" s="1"/>
  <c r="J175" i="12"/>
  <c r="K175" i="12" s="1"/>
  <c r="J176" i="12"/>
  <c r="K176" i="12" s="1"/>
  <c r="J177" i="12"/>
  <c r="K177" i="12" s="1"/>
  <c r="J178" i="12"/>
  <c r="K178" i="12" s="1"/>
  <c r="J179" i="12"/>
  <c r="K179" i="12" s="1"/>
  <c r="J181" i="12"/>
  <c r="K181" i="12" s="1"/>
  <c r="J182" i="12"/>
  <c r="K182" i="12" s="1"/>
  <c r="J183" i="12"/>
  <c r="K183" i="12" s="1"/>
  <c r="J184" i="12"/>
  <c r="K184" i="12" s="1"/>
  <c r="J185" i="12"/>
  <c r="K185" i="12" s="1"/>
  <c r="J186" i="12"/>
  <c r="K186" i="12" s="1"/>
  <c r="J187" i="12"/>
  <c r="K187" i="12" s="1"/>
  <c r="J189" i="12"/>
  <c r="K189" i="12" s="1"/>
  <c r="J190" i="12"/>
  <c r="K190" i="12" s="1"/>
  <c r="J191" i="12"/>
  <c r="K191" i="12" s="1"/>
  <c r="J192" i="12"/>
  <c r="K192" i="12" s="1"/>
  <c r="J193" i="12"/>
  <c r="K193" i="12" s="1"/>
  <c r="J194" i="12"/>
  <c r="K194" i="12" s="1"/>
  <c r="J195" i="12"/>
  <c r="K195" i="12" s="1"/>
  <c r="J197" i="12"/>
  <c r="K197" i="12" s="1"/>
  <c r="J198" i="12"/>
  <c r="K198" i="12" s="1"/>
  <c r="J199" i="12"/>
  <c r="K199" i="12" s="1"/>
  <c r="J200" i="12"/>
  <c r="K200" i="12" s="1"/>
  <c r="J201" i="12"/>
  <c r="K201" i="12" s="1"/>
  <c r="J202" i="12"/>
  <c r="K202" i="12" s="1"/>
  <c r="J203" i="12"/>
  <c r="K203" i="12" s="1"/>
  <c r="J205" i="12"/>
  <c r="K205" i="12" s="1"/>
  <c r="J206" i="12"/>
  <c r="K206" i="12" s="1"/>
  <c r="J207" i="12"/>
  <c r="K207" i="12" s="1"/>
  <c r="J208" i="12"/>
  <c r="K208" i="12" s="1"/>
  <c r="J209" i="12"/>
  <c r="K209" i="12" s="1"/>
  <c r="J210" i="12"/>
  <c r="K210" i="12" s="1"/>
  <c r="J211" i="12"/>
  <c r="K211" i="12" s="1"/>
  <c r="J213" i="12"/>
  <c r="K213" i="12" s="1"/>
  <c r="J214" i="12"/>
  <c r="K214" i="12" s="1"/>
  <c r="J215" i="12"/>
  <c r="K215" i="12" s="1"/>
  <c r="J216" i="12"/>
  <c r="K216" i="12" s="1"/>
  <c r="J217" i="12"/>
  <c r="K217" i="12" s="1"/>
  <c r="J218" i="12"/>
  <c r="K218" i="12" s="1"/>
  <c r="J219" i="12"/>
  <c r="K219" i="12" s="1"/>
  <c r="J221" i="12"/>
  <c r="K221" i="12" s="1"/>
  <c r="J222" i="12"/>
  <c r="K222" i="12" s="1"/>
  <c r="J223" i="12"/>
  <c r="K223" i="12" s="1"/>
  <c r="J224" i="12"/>
  <c r="K224" i="12" s="1"/>
  <c r="J225" i="12"/>
  <c r="K225" i="12" s="1"/>
  <c r="J226" i="12"/>
  <c r="K226" i="12" s="1"/>
  <c r="J227" i="12"/>
  <c r="K227" i="12" s="1"/>
  <c r="J229" i="12"/>
  <c r="K229" i="12" s="1"/>
  <c r="J230" i="12"/>
  <c r="K230" i="12" s="1"/>
  <c r="J231" i="12"/>
  <c r="K231" i="12" s="1"/>
  <c r="J232" i="12"/>
  <c r="K232" i="12" s="1"/>
  <c r="J233" i="12"/>
  <c r="K233" i="12" s="1"/>
  <c r="J234" i="12"/>
  <c r="K234" i="12" s="1"/>
  <c r="J235" i="12"/>
  <c r="K235" i="12" s="1"/>
  <c r="J237" i="12"/>
  <c r="K237" i="12" s="1"/>
  <c r="J238" i="12"/>
  <c r="K238" i="12" s="1"/>
  <c r="J239" i="12"/>
  <c r="K239" i="12" s="1"/>
  <c r="J240" i="12"/>
  <c r="K240" i="12" s="1"/>
  <c r="J241" i="12"/>
  <c r="K241" i="12" s="1"/>
  <c r="J242" i="12"/>
  <c r="K242" i="12" s="1"/>
  <c r="J243" i="12"/>
  <c r="K243" i="12" s="1"/>
  <c r="J245" i="12"/>
  <c r="K245" i="12" s="1"/>
  <c r="J246" i="12"/>
  <c r="K246" i="12" s="1"/>
  <c r="J247" i="12"/>
  <c r="K247" i="12" s="1"/>
  <c r="J248" i="12"/>
  <c r="K248" i="12" s="1"/>
  <c r="J249" i="12"/>
  <c r="K249" i="12" s="1"/>
  <c r="J250" i="12"/>
  <c r="K250" i="12" s="1"/>
  <c r="J251" i="12"/>
  <c r="K251" i="12" s="1"/>
  <c r="J253" i="12"/>
  <c r="K253" i="12" s="1"/>
  <c r="J254" i="12"/>
  <c r="K254" i="12" s="1"/>
  <c r="J255" i="12"/>
  <c r="K255" i="12" s="1"/>
  <c r="J256" i="12"/>
  <c r="K256" i="12" s="1"/>
  <c r="J257" i="12"/>
  <c r="K257" i="12" s="1"/>
  <c r="J258" i="12"/>
  <c r="K258" i="12" s="1"/>
  <c r="J259" i="12"/>
  <c r="K259" i="12" s="1"/>
  <c r="J261" i="12"/>
  <c r="K261" i="12" s="1"/>
  <c r="J262" i="12"/>
  <c r="K262" i="12" s="1"/>
  <c r="J263" i="12"/>
  <c r="K263" i="12" s="1"/>
  <c r="J264" i="12"/>
  <c r="K264" i="12" s="1"/>
  <c r="J265" i="12"/>
  <c r="K265" i="12" s="1"/>
  <c r="J266" i="12"/>
  <c r="K266" i="12" s="1"/>
  <c r="J267" i="12"/>
  <c r="K267" i="12" s="1"/>
  <c r="J269" i="12"/>
  <c r="K269" i="12" s="1"/>
  <c r="J270" i="12"/>
  <c r="K270" i="12" s="1"/>
  <c r="J271" i="12"/>
  <c r="K271" i="12" s="1"/>
  <c r="J272" i="12"/>
  <c r="K272" i="12" s="1"/>
  <c r="J273" i="12"/>
  <c r="K273" i="12" s="1"/>
  <c r="J274" i="12"/>
  <c r="K274" i="12" s="1"/>
  <c r="J275" i="12"/>
  <c r="K275" i="12" s="1"/>
  <c r="J277" i="12"/>
  <c r="K277" i="12" s="1"/>
  <c r="J278" i="12"/>
  <c r="K278" i="12" s="1"/>
  <c r="J279" i="12"/>
  <c r="K279" i="12" s="1"/>
  <c r="J280" i="12"/>
  <c r="K280" i="12" s="1"/>
  <c r="J281" i="12"/>
  <c r="K281" i="12" s="1"/>
  <c r="J282" i="12"/>
  <c r="K282" i="12" s="1"/>
  <c r="J283" i="12"/>
  <c r="K283" i="12" s="1"/>
  <c r="J285" i="12"/>
  <c r="K285" i="12" s="1"/>
  <c r="J286" i="12"/>
  <c r="K286" i="12" s="1"/>
  <c r="J287" i="12"/>
  <c r="K287" i="12" s="1"/>
  <c r="J288" i="12"/>
  <c r="K288" i="12" s="1"/>
  <c r="J289" i="12"/>
  <c r="K289" i="12" s="1"/>
  <c r="J290" i="12"/>
  <c r="K290" i="12" s="1"/>
  <c r="J291" i="12"/>
  <c r="K291" i="12" s="1"/>
  <c r="J293" i="12"/>
  <c r="K293" i="12" s="1"/>
  <c r="J294" i="12"/>
  <c r="K294" i="12" s="1"/>
  <c r="J295" i="12"/>
  <c r="K295" i="12" s="1"/>
  <c r="J296" i="12"/>
  <c r="K296" i="12" s="1"/>
  <c r="J297" i="12"/>
  <c r="K297" i="12" s="1"/>
  <c r="J298" i="12"/>
  <c r="K298" i="12" s="1"/>
  <c r="J299" i="12"/>
  <c r="K299" i="12" s="1"/>
  <c r="J301" i="12"/>
  <c r="K301" i="12" s="1"/>
  <c r="J302" i="12"/>
  <c r="K302" i="12" s="1"/>
  <c r="J303" i="12"/>
  <c r="K303" i="12" s="1"/>
  <c r="J12" i="12"/>
  <c r="K12" i="12" s="1"/>
  <c r="U10" i="10" l="1"/>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111"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44" i="10"/>
  <c r="U145" i="10"/>
  <c r="U146"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U295" i="10"/>
  <c r="U296" i="10"/>
  <c r="U297" i="10"/>
  <c r="U298" i="10"/>
  <c r="U299" i="10"/>
  <c r="U300" i="10"/>
  <c r="S7" i="10"/>
  <c r="T7" i="10"/>
  <c r="U7" i="10" l="1"/>
  <c r="D4" i="14" l="1"/>
  <c r="C4" i="14" l="1"/>
  <c r="D12" i="9" l="1"/>
  <c r="I7" i="10" l="1"/>
  <c r="H7" i="10"/>
  <c r="Q12" i="9" l="1"/>
  <c r="F6" i="7" l="1"/>
  <c r="M6" i="7" l="1"/>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J11" i="12"/>
  <c r="K11" i="12" s="1"/>
  <c r="I11" i="12"/>
  <c r="H11" i="12"/>
  <c r="G11" i="12"/>
  <c r="C11" i="12"/>
  <c r="F11" i="12"/>
  <c r="E11" i="12"/>
  <c r="P253" i="7" l="1"/>
  <c r="R253" i="7"/>
  <c r="P294" i="7"/>
  <c r="R294" i="7"/>
  <c r="P286" i="7"/>
  <c r="R286" i="7"/>
  <c r="P278" i="7"/>
  <c r="R278" i="7"/>
  <c r="P270" i="7"/>
  <c r="R270" i="7"/>
  <c r="P262" i="7"/>
  <c r="R262" i="7"/>
  <c r="P254" i="7"/>
  <c r="R254" i="7"/>
  <c r="P246" i="7"/>
  <c r="R246" i="7"/>
  <c r="P238" i="7"/>
  <c r="R238" i="7"/>
  <c r="P230" i="7"/>
  <c r="R230" i="7"/>
  <c r="P222" i="7"/>
  <c r="R222" i="7"/>
  <c r="P214" i="7"/>
  <c r="R214" i="7"/>
  <c r="P206" i="7"/>
  <c r="R206" i="7"/>
  <c r="P198" i="7"/>
  <c r="R198" i="7"/>
  <c r="P190" i="7"/>
  <c r="R190" i="7"/>
  <c r="P182" i="7"/>
  <c r="R182" i="7"/>
  <c r="P174" i="7"/>
  <c r="R174" i="7"/>
  <c r="P166" i="7"/>
  <c r="R166" i="7"/>
  <c r="P158" i="7"/>
  <c r="R158" i="7"/>
  <c r="P150" i="7"/>
  <c r="R150" i="7"/>
  <c r="P142" i="7"/>
  <c r="R142" i="7"/>
  <c r="P134" i="7"/>
  <c r="R134" i="7"/>
  <c r="P126" i="7"/>
  <c r="R126" i="7"/>
  <c r="P118" i="7"/>
  <c r="R118" i="7"/>
  <c r="P110" i="7"/>
  <c r="R110" i="7"/>
  <c r="P102" i="7"/>
  <c r="R102" i="7"/>
  <c r="P94" i="7"/>
  <c r="R94" i="7"/>
  <c r="P86" i="7"/>
  <c r="R86" i="7"/>
  <c r="P78" i="7"/>
  <c r="R78" i="7"/>
  <c r="P70" i="7"/>
  <c r="R70" i="7"/>
  <c r="P62" i="7"/>
  <c r="R62" i="7"/>
  <c r="P54" i="7"/>
  <c r="R54" i="7"/>
  <c r="P46" i="7"/>
  <c r="R46" i="7"/>
  <c r="P38" i="7"/>
  <c r="R38" i="7"/>
  <c r="P30" i="7"/>
  <c r="R30" i="7"/>
  <c r="P22" i="7"/>
  <c r="R22" i="7"/>
  <c r="P14" i="7"/>
  <c r="R14" i="7"/>
  <c r="P133" i="7"/>
  <c r="R133" i="7"/>
  <c r="P125" i="7"/>
  <c r="R125" i="7"/>
  <c r="P117" i="7"/>
  <c r="R117" i="7"/>
  <c r="P109" i="7"/>
  <c r="R109" i="7"/>
  <c r="P101" i="7"/>
  <c r="R101" i="7"/>
  <c r="P93" i="7"/>
  <c r="R93" i="7"/>
  <c r="P85" i="7"/>
  <c r="R85" i="7"/>
  <c r="P77" i="7"/>
  <c r="R77" i="7"/>
  <c r="P69" i="7"/>
  <c r="R69" i="7"/>
  <c r="P61" i="7"/>
  <c r="R61" i="7"/>
  <c r="P53" i="7"/>
  <c r="R53" i="7"/>
  <c r="R45" i="7"/>
  <c r="P45" i="7"/>
  <c r="P37" i="7"/>
  <c r="R37" i="7"/>
  <c r="P29" i="7"/>
  <c r="R29" i="7"/>
  <c r="P21" i="7"/>
  <c r="R21" i="7"/>
  <c r="P13" i="7"/>
  <c r="R13" i="7"/>
  <c r="P269" i="7"/>
  <c r="R269" i="7"/>
  <c r="P221" i="7"/>
  <c r="R221" i="7"/>
  <c r="P189" i="7"/>
  <c r="R189" i="7"/>
  <c r="P149" i="7"/>
  <c r="R149" i="7"/>
  <c r="P268" i="7"/>
  <c r="R268" i="7"/>
  <c r="P228" i="7"/>
  <c r="R228" i="7"/>
  <c r="P188" i="7"/>
  <c r="R188" i="7"/>
  <c r="P148" i="7"/>
  <c r="R148" i="7"/>
  <c r="P132" i="7"/>
  <c r="R132" i="7"/>
  <c r="P100" i="7"/>
  <c r="R100" i="7"/>
  <c r="P84" i="7"/>
  <c r="R84" i="7"/>
  <c r="P68" i="7"/>
  <c r="R68" i="7"/>
  <c r="P52" i="7"/>
  <c r="R52" i="7"/>
  <c r="P36" i="7"/>
  <c r="R36" i="7"/>
  <c r="P28" i="7"/>
  <c r="R28" i="7"/>
  <c r="P12" i="7"/>
  <c r="R12" i="7"/>
  <c r="R299" i="7"/>
  <c r="P299" i="7"/>
  <c r="R291" i="7"/>
  <c r="P291" i="7"/>
  <c r="R283" i="7"/>
  <c r="P283" i="7"/>
  <c r="R275" i="7"/>
  <c r="P275" i="7"/>
  <c r="R267" i="7"/>
  <c r="P267" i="7"/>
  <c r="R259" i="7"/>
  <c r="P259" i="7"/>
  <c r="R251" i="7"/>
  <c r="P251" i="7"/>
  <c r="R243" i="7"/>
  <c r="P243" i="7"/>
  <c r="R235" i="7"/>
  <c r="P235" i="7"/>
  <c r="R227" i="7"/>
  <c r="P227" i="7"/>
  <c r="R219" i="7"/>
  <c r="P219" i="7"/>
  <c r="R211" i="7"/>
  <c r="P211" i="7"/>
  <c r="R203" i="7"/>
  <c r="P203" i="7"/>
  <c r="R195" i="7"/>
  <c r="P195" i="7"/>
  <c r="R187" i="7"/>
  <c r="P187" i="7"/>
  <c r="R179" i="7"/>
  <c r="P179" i="7"/>
  <c r="R171" i="7"/>
  <c r="P171" i="7"/>
  <c r="R163" i="7"/>
  <c r="P163" i="7"/>
  <c r="R155" i="7"/>
  <c r="P155" i="7"/>
  <c r="R147" i="7"/>
  <c r="P147" i="7"/>
  <c r="R139" i="7"/>
  <c r="P139" i="7"/>
  <c r="R131" i="7"/>
  <c r="P131" i="7"/>
  <c r="R123" i="7"/>
  <c r="P123" i="7"/>
  <c r="R115" i="7"/>
  <c r="P115" i="7"/>
  <c r="R107" i="7"/>
  <c r="P107" i="7"/>
  <c r="R99" i="7"/>
  <c r="P99" i="7"/>
  <c r="R91" i="7"/>
  <c r="P91" i="7"/>
  <c r="R83" i="7"/>
  <c r="P83" i="7"/>
  <c r="R75" i="7"/>
  <c r="P75" i="7"/>
  <c r="R67" i="7"/>
  <c r="P67" i="7"/>
  <c r="R59" i="7"/>
  <c r="P59" i="7"/>
  <c r="R51" i="7"/>
  <c r="P51" i="7"/>
  <c r="R43" i="7"/>
  <c r="P43" i="7"/>
  <c r="R35" i="7"/>
  <c r="P35" i="7"/>
  <c r="R27" i="7"/>
  <c r="P27" i="7"/>
  <c r="R19" i="7"/>
  <c r="P19" i="7"/>
  <c r="R11" i="7"/>
  <c r="P11" i="7"/>
  <c r="P261" i="7"/>
  <c r="R261" i="7"/>
  <c r="P213" i="7"/>
  <c r="R213" i="7"/>
  <c r="P173" i="7"/>
  <c r="R173" i="7"/>
  <c r="P292" i="7"/>
  <c r="R292" i="7"/>
  <c r="P244" i="7"/>
  <c r="R244" i="7"/>
  <c r="P204" i="7"/>
  <c r="R204" i="7"/>
  <c r="P164" i="7"/>
  <c r="R164" i="7"/>
  <c r="P140" i="7"/>
  <c r="R140" i="7"/>
  <c r="P108" i="7"/>
  <c r="R108" i="7"/>
  <c r="P76" i="7"/>
  <c r="R76" i="7"/>
  <c r="P60" i="7"/>
  <c r="R60" i="7"/>
  <c r="P44" i="7"/>
  <c r="R44" i="7"/>
  <c r="P20" i="7"/>
  <c r="R20" i="7"/>
  <c r="R298" i="7"/>
  <c r="P298" i="7"/>
  <c r="R290" i="7"/>
  <c r="P290" i="7"/>
  <c r="R282" i="7"/>
  <c r="P282" i="7"/>
  <c r="R274" i="7"/>
  <c r="P274" i="7"/>
  <c r="R266" i="7"/>
  <c r="P266" i="7"/>
  <c r="R258" i="7"/>
  <c r="P258" i="7"/>
  <c r="R250" i="7"/>
  <c r="P250" i="7"/>
  <c r="R242" i="7"/>
  <c r="P242" i="7"/>
  <c r="R234" i="7"/>
  <c r="P234" i="7"/>
  <c r="R226" i="7"/>
  <c r="P226" i="7"/>
  <c r="R218" i="7"/>
  <c r="P218" i="7"/>
  <c r="R210" i="7"/>
  <c r="P210" i="7"/>
  <c r="R202" i="7"/>
  <c r="P202" i="7"/>
  <c r="R194" i="7"/>
  <c r="P194" i="7"/>
  <c r="R186" i="7"/>
  <c r="P186" i="7"/>
  <c r="R178" i="7"/>
  <c r="P178" i="7"/>
  <c r="R170" i="7"/>
  <c r="P170" i="7"/>
  <c r="R162" i="7"/>
  <c r="P162" i="7"/>
  <c r="R154" i="7"/>
  <c r="P154" i="7"/>
  <c r="R146" i="7"/>
  <c r="P146" i="7"/>
  <c r="R138" i="7"/>
  <c r="P138" i="7"/>
  <c r="R130" i="7"/>
  <c r="P130" i="7"/>
  <c r="R122" i="7"/>
  <c r="P122" i="7"/>
  <c r="R114" i="7"/>
  <c r="P114" i="7"/>
  <c r="R106" i="7"/>
  <c r="P106" i="7"/>
  <c r="R98" i="7"/>
  <c r="P98" i="7"/>
  <c r="R90" i="7"/>
  <c r="P90" i="7"/>
  <c r="R82" i="7"/>
  <c r="P82" i="7"/>
  <c r="R74" i="7"/>
  <c r="P74" i="7"/>
  <c r="R66" i="7"/>
  <c r="P66" i="7"/>
  <c r="R58" i="7"/>
  <c r="P58" i="7"/>
  <c r="R50" i="7"/>
  <c r="P50" i="7"/>
  <c r="R42" i="7"/>
  <c r="P42" i="7"/>
  <c r="R34" i="7"/>
  <c r="P34" i="7"/>
  <c r="R26" i="7"/>
  <c r="P26" i="7"/>
  <c r="R18" i="7"/>
  <c r="P18" i="7"/>
  <c r="R10" i="7"/>
  <c r="P10" i="7"/>
  <c r="P293" i="7"/>
  <c r="R293" i="7"/>
  <c r="P245" i="7"/>
  <c r="R245" i="7"/>
  <c r="P205" i="7"/>
  <c r="R205" i="7"/>
  <c r="P165" i="7"/>
  <c r="R165" i="7"/>
  <c r="P284" i="7"/>
  <c r="R284" i="7"/>
  <c r="P252" i="7"/>
  <c r="R252" i="7"/>
  <c r="P212" i="7"/>
  <c r="R212" i="7"/>
  <c r="P172" i="7"/>
  <c r="R172" i="7"/>
  <c r="P92" i="7"/>
  <c r="R92" i="7"/>
  <c r="R281" i="7"/>
  <c r="P281" i="7"/>
  <c r="R241" i="7"/>
  <c r="P241" i="7"/>
  <c r="R137" i="7"/>
  <c r="P137" i="7"/>
  <c r="R129" i="7"/>
  <c r="P129" i="7"/>
  <c r="R121" i="7"/>
  <c r="P121" i="7"/>
  <c r="P113" i="7"/>
  <c r="R113" i="7"/>
  <c r="R105" i="7"/>
  <c r="P105" i="7"/>
  <c r="R97" i="7"/>
  <c r="P97" i="7"/>
  <c r="R89" i="7"/>
  <c r="P89" i="7"/>
  <c r="R81" i="7"/>
  <c r="P81" i="7"/>
  <c r="R73" i="7"/>
  <c r="P73" i="7"/>
  <c r="R65" i="7"/>
  <c r="P65" i="7"/>
  <c r="P57" i="7"/>
  <c r="R57" i="7"/>
  <c r="R49" i="7"/>
  <c r="P49" i="7"/>
  <c r="R41" i="7"/>
  <c r="P41" i="7"/>
  <c r="R33" i="7"/>
  <c r="P33" i="7"/>
  <c r="R25" i="7"/>
  <c r="P25" i="7"/>
  <c r="R17" i="7"/>
  <c r="P17" i="7"/>
  <c r="R9" i="7"/>
  <c r="P9" i="7"/>
  <c r="P277" i="7"/>
  <c r="R277" i="7"/>
  <c r="R229" i="7"/>
  <c r="P229" i="7"/>
  <c r="P181" i="7"/>
  <c r="R181" i="7"/>
  <c r="R157" i="7"/>
  <c r="P157" i="7"/>
  <c r="P260" i="7"/>
  <c r="R260" i="7"/>
  <c r="P220" i="7"/>
  <c r="R220" i="7"/>
  <c r="P180" i="7"/>
  <c r="R180" i="7"/>
  <c r="P116" i="7"/>
  <c r="R116" i="7"/>
  <c r="R289" i="7"/>
  <c r="P289" i="7"/>
  <c r="R265" i="7"/>
  <c r="P265" i="7"/>
  <c r="R249" i="7"/>
  <c r="P249" i="7"/>
  <c r="R225" i="7"/>
  <c r="P225" i="7"/>
  <c r="P209" i="7"/>
  <c r="R209" i="7"/>
  <c r="R193" i="7"/>
  <c r="P193" i="7"/>
  <c r="R185" i="7"/>
  <c r="P185" i="7"/>
  <c r="R169" i="7"/>
  <c r="P169" i="7"/>
  <c r="R161" i="7"/>
  <c r="P161" i="7"/>
  <c r="P153" i="7"/>
  <c r="R153" i="7"/>
  <c r="R145" i="7"/>
  <c r="P145" i="7"/>
  <c r="R296" i="7"/>
  <c r="P296" i="7"/>
  <c r="R288" i="7"/>
  <c r="P288" i="7"/>
  <c r="R280" i="7"/>
  <c r="P280" i="7"/>
  <c r="R272" i="7"/>
  <c r="P272" i="7"/>
  <c r="R264" i="7"/>
  <c r="P264" i="7"/>
  <c r="R256" i="7"/>
  <c r="P256" i="7"/>
  <c r="R248" i="7"/>
  <c r="P248" i="7"/>
  <c r="R240" i="7"/>
  <c r="P240" i="7"/>
  <c r="R232" i="7"/>
  <c r="P232" i="7"/>
  <c r="R224" i="7"/>
  <c r="P224" i="7"/>
  <c r="R216" i="7"/>
  <c r="P216" i="7"/>
  <c r="R208" i="7"/>
  <c r="P208" i="7"/>
  <c r="R200" i="7"/>
  <c r="P200" i="7"/>
  <c r="R192" i="7"/>
  <c r="P192" i="7"/>
  <c r="R184" i="7"/>
  <c r="P184" i="7"/>
  <c r="R176" i="7"/>
  <c r="P176" i="7"/>
  <c r="R168" i="7"/>
  <c r="P168" i="7"/>
  <c r="R160" i="7"/>
  <c r="P160" i="7"/>
  <c r="R152" i="7"/>
  <c r="P152" i="7"/>
  <c r="R144" i="7"/>
  <c r="P144" i="7"/>
  <c r="R136" i="7"/>
  <c r="P136" i="7"/>
  <c r="R128" i="7"/>
  <c r="P128" i="7"/>
  <c r="R120" i="7"/>
  <c r="P120" i="7"/>
  <c r="R112" i="7"/>
  <c r="P112" i="7"/>
  <c r="R104" i="7"/>
  <c r="P104" i="7"/>
  <c r="R96" i="7"/>
  <c r="P96" i="7"/>
  <c r="R88" i="7"/>
  <c r="P88" i="7"/>
  <c r="R80" i="7"/>
  <c r="P80" i="7"/>
  <c r="R72" i="7"/>
  <c r="P72" i="7"/>
  <c r="R64" i="7"/>
  <c r="P64" i="7"/>
  <c r="R56" i="7"/>
  <c r="P56" i="7"/>
  <c r="R48" i="7"/>
  <c r="P48" i="7"/>
  <c r="R40" i="7"/>
  <c r="P40" i="7"/>
  <c r="R32" i="7"/>
  <c r="P32" i="7"/>
  <c r="R24" i="7"/>
  <c r="P24" i="7"/>
  <c r="R16" i="7"/>
  <c r="P16" i="7"/>
  <c r="R8" i="7"/>
  <c r="P8" i="7"/>
  <c r="R285" i="7"/>
  <c r="P285" i="7"/>
  <c r="P237" i="7"/>
  <c r="R237" i="7"/>
  <c r="P197" i="7"/>
  <c r="R197" i="7"/>
  <c r="P141" i="7"/>
  <c r="R141" i="7"/>
  <c r="P276" i="7"/>
  <c r="R276" i="7"/>
  <c r="P236" i="7"/>
  <c r="R236" i="7"/>
  <c r="P196" i="7"/>
  <c r="R196" i="7"/>
  <c r="P156" i="7"/>
  <c r="R156" i="7"/>
  <c r="P124" i="7"/>
  <c r="R124" i="7"/>
  <c r="R297" i="7"/>
  <c r="P297" i="7"/>
  <c r="R273" i="7"/>
  <c r="P273" i="7"/>
  <c r="R257" i="7"/>
  <c r="P257" i="7"/>
  <c r="R233" i="7"/>
  <c r="P233" i="7"/>
  <c r="R217" i="7"/>
  <c r="P217" i="7"/>
  <c r="R201" i="7"/>
  <c r="P201" i="7"/>
  <c r="R177" i="7"/>
  <c r="P177" i="7"/>
  <c r="P295" i="7"/>
  <c r="R295" i="7"/>
  <c r="P287" i="7"/>
  <c r="R287" i="7"/>
  <c r="P279" i="7"/>
  <c r="R279" i="7"/>
  <c r="P271" i="7"/>
  <c r="R271" i="7"/>
  <c r="P263" i="7"/>
  <c r="R263" i="7"/>
  <c r="P255" i="7"/>
  <c r="R255" i="7"/>
  <c r="P247" i="7"/>
  <c r="R247" i="7"/>
  <c r="P239" i="7"/>
  <c r="R239" i="7"/>
  <c r="P231" i="7"/>
  <c r="R231" i="7"/>
  <c r="P223" i="7"/>
  <c r="R223" i="7"/>
  <c r="P215" i="7"/>
  <c r="R215" i="7"/>
  <c r="P207" i="7"/>
  <c r="R207" i="7"/>
  <c r="P199" i="7"/>
  <c r="R199" i="7"/>
  <c r="P191" i="7"/>
  <c r="R191" i="7"/>
  <c r="P183" i="7"/>
  <c r="R183" i="7"/>
  <c r="P175" i="7"/>
  <c r="R175" i="7"/>
  <c r="P167" i="7"/>
  <c r="R167" i="7"/>
  <c r="P159" i="7"/>
  <c r="R159" i="7"/>
  <c r="P151" i="7"/>
  <c r="R151" i="7"/>
  <c r="P143" i="7"/>
  <c r="R143" i="7"/>
  <c r="P135" i="7"/>
  <c r="R135" i="7"/>
  <c r="P127" i="7"/>
  <c r="R127" i="7"/>
  <c r="P119" i="7"/>
  <c r="R119" i="7"/>
  <c r="P111" i="7"/>
  <c r="R111" i="7"/>
  <c r="P103" i="7"/>
  <c r="R103" i="7"/>
  <c r="P95" i="7"/>
  <c r="R95" i="7"/>
  <c r="P87" i="7"/>
  <c r="R87" i="7"/>
  <c r="P79" i="7"/>
  <c r="R79" i="7"/>
  <c r="P71" i="7"/>
  <c r="R71" i="7"/>
  <c r="P63" i="7"/>
  <c r="R63" i="7"/>
  <c r="P55" i="7"/>
  <c r="R55" i="7"/>
  <c r="P47" i="7"/>
  <c r="R47" i="7"/>
  <c r="P39" i="7"/>
  <c r="R39" i="7"/>
  <c r="P31" i="7"/>
  <c r="R31" i="7"/>
  <c r="P23" i="7"/>
  <c r="R23" i="7"/>
  <c r="P15" i="7"/>
  <c r="R15" i="7"/>
  <c r="L12" i="12"/>
  <c r="M12" i="12" s="1"/>
  <c r="N12" i="12" s="1"/>
  <c r="L13" i="12"/>
  <c r="M13" i="12" s="1"/>
  <c r="N13" i="12" s="1"/>
  <c r="L21" i="12"/>
  <c r="M21" i="12" s="1"/>
  <c r="N21" i="12" s="1"/>
  <c r="L29" i="12"/>
  <c r="M29" i="12" s="1"/>
  <c r="N29" i="12" s="1"/>
  <c r="L37" i="12"/>
  <c r="M37" i="12" s="1"/>
  <c r="N37" i="12" s="1"/>
  <c r="L45" i="12"/>
  <c r="M45" i="12" s="1"/>
  <c r="N45" i="12" s="1"/>
  <c r="L53" i="12"/>
  <c r="M53" i="12" s="1"/>
  <c r="N53" i="12" s="1"/>
  <c r="L61" i="12"/>
  <c r="M61" i="12" s="1"/>
  <c r="N61" i="12" s="1"/>
  <c r="L69" i="12"/>
  <c r="M69" i="12" s="1"/>
  <c r="N69" i="12" s="1"/>
  <c r="L77" i="12"/>
  <c r="M77" i="12" s="1"/>
  <c r="N77" i="12" s="1"/>
  <c r="L85" i="12"/>
  <c r="M85" i="12" s="1"/>
  <c r="N85" i="12" s="1"/>
  <c r="L93" i="12"/>
  <c r="M93" i="12" s="1"/>
  <c r="N93" i="12" s="1"/>
  <c r="L101" i="12"/>
  <c r="M101" i="12" s="1"/>
  <c r="N101" i="12" s="1"/>
  <c r="L109" i="12"/>
  <c r="M109" i="12" s="1"/>
  <c r="N109" i="12" s="1"/>
  <c r="L117" i="12"/>
  <c r="M117" i="12" s="1"/>
  <c r="N117" i="12" s="1"/>
  <c r="L125" i="12"/>
  <c r="M125" i="12" s="1"/>
  <c r="N125" i="12" s="1"/>
  <c r="L133" i="12"/>
  <c r="M133" i="12" s="1"/>
  <c r="N133" i="12" s="1"/>
  <c r="L141" i="12"/>
  <c r="M141" i="12" s="1"/>
  <c r="N141" i="12" s="1"/>
  <c r="L149" i="12"/>
  <c r="M149" i="12" s="1"/>
  <c r="N149" i="12" s="1"/>
  <c r="L157" i="12"/>
  <c r="M157" i="12" s="1"/>
  <c r="N157" i="12" s="1"/>
  <c r="L165" i="12"/>
  <c r="M165" i="12" s="1"/>
  <c r="N165" i="12" s="1"/>
  <c r="L173" i="12"/>
  <c r="M173" i="12" s="1"/>
  <c r="N173" i="12" s="1"/>
  <c r="L181" i="12"/>
  <c r="M181" i="12" s="1"/>
  <c r="N181" i="12" s="1"/>
  <c r="L189" i="12"/>
  <c r="M189" i="12" s="1"/>
  <c r="N189" i="12" s="1"/>
  <c r="L197" i="12"/>
  <c r="M197" i="12" s="1"/>
  <c r="N197" i="12" s="1"/>
  <c r="L205" i="12"/>
  <c r="M205" i="12" s="1"/>
  <c r="N205" i="12" s="1"/>
  <c r="L213" i="12"/>
  <c r="M213" i="12" s="1"/>
  <c r="N213" i="12" s="1"/>
  <c r="L221" i="12"/>
  <c r="M221" i="12" s="1"/>
  <c r="N221" i="12" s="1"/>
  <c r="L229" i="12"/>
  <c r="M229" i="12" s="1"/>
  <c r="N229" i="12" s="1"/>
  <c r="L237" i="12"/>
  <c r="M237" i="12" s="1"/>
  <c r="N237" i="12" s="1"/>
  <c r="L245" i="12"/>
  <c r="M245" i="12" s="1"/>
  <c r="N245" i="12" s="1"/>
  <c r="L253" i="12"/>
  <c r="M253" i="12" s="1"/>
  <c r="N253" i="12" s="1"/>
  <c r="L261" i="12"/>
  <c r="M261" i="12" s="1"/>
  <c r="N261" i="12" s="1"/>
  <c r="L269" i="12"/>
  <c r="M269" i="12" s="1"/>
  <c r="N269" i="12" s="1"/>
  <c r="L277" i="12"/>
  <c r="M277" i="12" s="1"/>
  <c r="N277" i="12" s="1"/>
  <c r="L285" i="12"/>
  <c r="M285" i="12" s="1"/>
  <c r="N285" i="12" s="1"/>
  <c r="L293" i="12"/>
  <c r="M293" i="12" s="1"/>
  <c r="N293" i="12" s="1"/>
  <c r="L301" i="12"/>
  <c r="M301" i="12" s="1"/>
  <c r="N301" i="12" s="1"/>
  <c r="L14" i="12"/>
  <c r="M14" i="12" s="1"/>
  <c r="N14" i="12" s="1"/>
  <c r="L22" i="12"/>
  <c r="M22" i="12" s="1"/>
  <c r="N22" i="12" s="1"/>
  <c r="L30" i="12"/>
  <c r="M30" i="12" s="1"/>
  <c r="N30" i="12" s="1"/>
  <c r="L38" i="12"/>
  <c r="M38" i="12" s="1"/>
  <c r="N38" i="12" s="1"/>
  <c r="L46" i="12"/>
  <c r="M46" i="12" s="1"/>
  <c r="N46" i="12" s="1"/>
  <c r="L54" i="12"/>
  <c r="M54" i="12" s="1"/>
  <c r="N54" i="12" s="1"/>
  <c r="L62" i="12"/>
  <c r="M62" i="12" s="1"/>
  <c r="N62" i="12" s="1"/>
  <c r="L70" i="12"/>
  <c r="M70" i="12" s="1"/>
  <c r="N70" i="12" s="1"/>
  <c r="L78" i="12"/>
  <c r="M78" i="12" s="1"/>
  <c r="N78" i="12" s="1"/>
  <c r="L86" i="12"/>
  <c r="M86" i="12" s="1"/>
  <c r="N86" i="12" s="1"/>
  <c r="L94" i="12"/>
  <c r="M94" i="12" s="1"/>
  <c r="N94" i="12" s="1"/>
  <c r="L102" i="12"/>
  <c r="M102" i="12" s="1"/>
  <c r="N102" i="12" s="1"/>
  <c r="L110" i="12"/>
  <c r="M110" i="12" s="1"/>
  <c r="N110" i="12" s="1"/>
  <c r="L118" i="12"/>
  <c r="M118" i="12" s="1"/>
  <c r="N118" i="12" s="1"/>
  <c r="L126" i="12"/>
  <c r="M126" i="12" s="1"/>
  <c r="N126" i="12" s="1"/>
  <c r="L134" i="12"/>
  <c r="M134" i="12" s="1"/>
  <c r="N134" i="12" s="1"/>
  <c r="L142" i="12"/>
  <c r="M142" i="12" s="1"/>
  <c r="N142" i="12" s="1"/>
  <c r="L150" i="12"/>
  <c r="M150" i="12" s="1"/>
  <c r="N150" i="12" s="1"/>
  <c r="L158" i="12"/>
  <c r="M158" i="12" s="1"/>
  <c r="N158" i="12" s="1"/>
  <c r="L166" i="12"/>
  <c r="M166" i="12" s="1"/>
  <c r="N166" i="12" s="1"/>
  <c r="L174" i="12"/>
  <c r="M174" i="12" s="1"/>
  <c r="N174" i="12" s="1"/>
  <c r="L182" i="12"/>
  <c r="M182" i="12" s="1"/>
  <c r="N182" i="12" s="1"/>
  <c r="L190" i="12"/>
  <c r="M190" i="12" s="1"/>
  <c r="N190" i="12" s="1"/>
  <c r="L198" i="12"/>
  <c r="M198" i="12" s="1"/>
  <c r="N198" i="12" s="1"/>
  <c r="L206" i="12"/>
  <c r="M206" i="12" s="1"/>
  <c r="N206" i="12" s="1"/>
  <c r="L214" i="12"/>
  <c r="M214" i="12" s="1"/>
  <c r="N214" i="12" s="1"/>
  <c r="L222" i="12"/>
  <c r="M222" i="12" s="1"/>
  <c r="N222" i="12" s="1"/>
  <c r="L230" i="12"/>
  <c r="M230" i="12" s="1"/>
  <c r="N230" i="12" s="1"/>
  <c r="L238" i="12"/>
  <c r="M238" i="12" s="1"/>
  <c r="N238" i="12" s="1"/>
  <c r="L246" i="12"/>
  <c r="M246" i="12" s="1"/>
  <c r="N246" i="12" s="1"/>
  <c r="L254" i="12"/>
  <c r="M254" i="12" s="1"/>
  <c r="N254" i="12" s="1"/>
  <c r="L262" i="12"/>
  <c r="M262" i="12" s="1"/>
  <c r="N262" i="12" s="1"/>
  <c r="L270" i="12"/>
  <c r="M270" i="12" s="1"/>
  <c r="N270" i="12" s="1"/>
  <c r="L278" i="12"/>
  <c r="M278" i="12" s="1"/>
  <c r="N278" i="12" s="1"/>
  <c r="L286" i="12"/>
  <c r="M286" i="12" s="1"/>
  <c r="N286" i="12" s="1"/>
  <c r="L294" i="12"/>
  <c r="M294" i="12" s="1"/>
  <c r="N294" i="12" s="1"/>
  <c r="L302" i="12"/>
  <c r="M302" i="12" s="1"/>
  <c r="N302" i="12" s="1"/>
  <c r="L15" i="12"/>
  <c r="M15" i="12" s="1"/>
  <c r="N15" i="12" s="1"/>
  <c r="L23" i="12"/>
  <c r="M23" i="12" s="1"/>
  <c r="N23" i="12" s="1"/>
  <c r="L31" i="12"/>
  <c r="M31" i="12" s="1"/>
  <c r="N31" i="12" s="1"/>
  <c r="L39" i="12"/>
  <c r="M39" i="12" s="1"/>
  <c r="N39" i="12" s="1"/>
  <c r="L47" i="12"/>
  <c r="M47" i="12" s="1"/>
  <c r="N47" i="12" s="1"/>
  <c r="L55" i="12"/>
  <c r="M55" i="12" s="1"/>
  <c r="N55" i="12" s="1"/>
  <c r="L63" i="12"/>
  <c r="M63" i="12" s="1"/>
  <c r="N63" i="12" s="1"/>
  <c r="L71" i="12"/>
  <c r="M71" i="12" s="1"/>
  <c r="N71" i="12" s="1"/>
  <c r="L79" i="12"/>
  <c r="M79" i="12" s="1"/>
  <c r="N79" i="12" s="1"/>
  <c r="L87" i="12"/>
  <c r="M87" i="12" s="1"/>
  <c r="N87" i="12" s="1"/>
  <c r="L95" i="12"/>
  <c r="M95" i="12" s="1"/>
  <c r="N95" i="12" s="1"/>
  <c r="L103" i="12"/>
  <c r="M103" i="12" s="1"/>
  <c r="N103" i="12" s="1"/>
  <c r="L111" i="12"/>
  <c r="M111" i="12" s="1"/>
  <c r="N111" i="12" s="1"/>
  <c r="L119" i="12"/>
  <c r="M119" i="12" s="1"/>
  <c r="N119" i="12" s="1"/>
  <c r="L127" i="12"/>
  <c r="M127" i="12" s="1"/>
  <c r="N127" i="12" s="1"/>
  <c r="L135" i="12"/>
  <c r="M135" i="12" s="1"/>
  <c r="N135" i="12" s="1"/>
  <c r="L143" i="12"/>
  <c r="M143" i="12" s="1"/>
  <c r="N143" i="12" s="1"/>
  <c r="L151" i="12"/>
  <c r="M151" i="12" s="1"/>
  <c r="N151" i="12" s="1"/>
  <c r="L159" i="12"/>
  <c r="M159" i="12" s="1"/>
  <c r="N159" i="12" s="1"/>
  <c r="L167" i="12"/>
  <c r="M167" i="12" s="1"/>
  <c r="N167" i="12" s="1"/>
  <c r="L175" i="12"/>
  <c r="M175" i="12" s="1"/>
  <c r="N175" i="12" s="1"/>
  <c r="L183" i="12"/>
  <c r="M183" i="12" s="1"/>
  <c r="N183" i="12" s="1"/>
  <c r="L191" i="12"/>
  <c r="M191" i="12" s="1"/>
  <c r="N191" i="12" s="1"/>
  <c r="L199" i="12"/>
  <c r="M199" i="12" s="1"/>
  <c r="N199" i="12" s="1"/>
  <c r="L207" i="12"/>
  <c r="M207" i="12" s="1"/>
  <c r="N207" i="12" s="1"/>
  <c r="L215" i="12"/>
  <c r="M215" i="12" s="1"/>
  <c r="N215" i="12" s="1"/>
  <c r="L223" i="12"/>
  <c r="M223" i="12" s="1"/>
  <c r="N223" i="12" s="1"/>
  <c r="L231" i="12"/>
  <c r="M231" i="12" s="1"/>
  <c r="N231" i="12" s="1"/>
  <c r="L239" i="12"/>
  <c r="M239" i="12" s="1"/>
  <c r="N239" i="12" s="1"/>
  <c r="L247" i="12"/>
  <c r="M247" i="12" s="1"/>
  <c r="N247" i="12" s="1"/>
  <c r="L255" i="12"/>
  <c r="M255" i="12" s="1"/>
  <c r="N255" i="12" s="1"/>
  <c r="L263" i="12"/>
  <c r="M263" i="12" s="1"/>
  <c r="N263" i="12" s="1"/>
  <c r="L271" i="12"/>
  <c r="M271" i="12" s="1"/>
  <c r="N271" i="12" s="1"/>
  <c r="L279" i="12"/>
  <c r="M279" i="12" s="1"/>
  <c r="N279" i="12" s="1"/>
  <c r="L287" i="12"/>
  <c r="M287" i="12" s="1"/>
  <c r="N287" i="12" s="1"/>
  <c r="L295" i="12"/>
  <c r="M295" i="12" s="1"/>
  <c r="N295" i="12" s="1"/>
  <c r="L303" i="12"/>
  <c r="M303" i="12" s="1"/>
  <c r="N303" i="12" s="1"/>
  <c r="L17" i="12"/>
  <c r="M17" i="12" s="1"/>
  <c r="N17" i="12" s="1"/>
  <c r="L25" i="12"/>
  <c r="M25" i="12" s="1"/>
  <c r="N25" i="12" s="1"/>
  <c r="L33" i="12"/>
  <c r="M33" i="12" s="1"/>
  <c r="N33" i="12" s="1"/>
  <c r="L41" i="12"/>
  <c r="M41" i="12" s="1"/>
  <c r="N41" i="12" s="1"/>
  <c r="L49" i="12"/>
  <c r="M49" i="12" s="1"/>
  <c r="N49" i="12" s="1"/>
  <c r="L57" i="12"/>
  <c r="M57" i="12" s="1"/>
  <c r="N57" i="12" s="1"/>
  <c r="L65" i="12"/>
  <c r="M65" i="12" s="1"/>
  <c r="N65" i="12" s="1"/>
  <c r="L73" i="12"/>
  <c r="M73" i="12" s="1"/>
  <c r="N73" i="12" s="1"/>
  <c r="L81" i="12"/>
  <c r="M81" i="12" s="1"/>
  <c r="N81" i="12" s="1"/>
  <c r="L89" i="12"/>
  <c r="M89" i="12" s="1"/>
  <c r="N89" i="12" s="1"/>
  <c r="L97" i="12"/>
  <c r="M97" i="12" s="1"/>
  <c r="N97" i="12" s="1"/>
  <c r="L105" i="12"/>
  <c r="M105" i="12" s="1"/>
  <c r="N105" i="12" s="1"/>
  <c r="L113" i="12"/>
  <c r="M113" i="12" s="1"/>
  <c r="N113" i="12" s="1"/>
  <c r="L121" i="12"/>
  <c r="M121" i="12" s="1"/>
  <c r="N121" i="12" s="1"/>
  <c r="L129" i="12"/>
  <c r="M129" i="12" s="1"/>
  <c r="N129" i="12" s="1"/>
  <c r="L137" i="12"/>
  <c r="M137" i="12" s="1"/>
  <c r="N137" i="12" s="1"/>
  <c r="L145" i="12"/>
  <c r="M145" i="12" s="1"/>
  <c r="N145" i="12" s="1"/>
  <c r="L153" i="12"/>
  <c r="M153" i="12" s="1"/>
  <c r="N153" i="12" s="1"/>
  <c r="L161" i="12"/>
  <c r="M161" i="12" s="1"/>
  <c r="N161" i="12" s="1"/>
  <c r="L169" i="12"/>
  <c r="M169" i="12" s="1"/>
  <c r="N169" i="12" s="1"/>
  <c r="L177" i="12"/>
  <c r="M177" i="12" s="1"/>
  <c r="N177" i="12" s="1"/>
  <c r="L185" i="12"/>
  <c r="M185" i="12" s="1"/>
  <c r="N185" i="12" s="1"/>
  <c r="L193" i="12"/>
  <c r="M193" i="12" s="1"/>
  <c r="N193" i="12" s="1"/>
  <c r="L201" i="12"/>
  <c r="M201" i="12" s="1"/>
  <c r="N201" i="12" s="1"/>
  <c r="L209" i="12"/>
  <c r="M209" i="12" s="1"/>
  <c r="N209" i="12" s="1"/>
  <c r="L217" i="12"/>
  <c r="M217" i="12" s="1"/>
  <c r="N217" i="12" s="1"/>
  <c r="L225" i="12"/>
  <c r="M225" i="12" s="1"/>
  <c r="N225" i="12" s="1"/>
  <c r="L233" i="12"/>
  <c r="M233" i="12" s="1"/>
  <c r="N233" i="12" s="1"/>
  <c r="L241" i="12"/>
  <c r="M241" i="12" s="1"/>
  <c r="N241" i="12" s="1"/>
  <c r="L249" i="12"/>
  <c r="M249" i="12" s="1"/>
  <c r="N249" i="12" s="1"/>
  <c r="L257" i="12"/>
  <c r="M257" i="12" s="1"/>
  <c r="N257" i="12" s="1"/>
  <c r="L265" i="12"/>
  <c r="M265" i="12" s="1"/>
  <c r="N265" i="12" s="1"/>
  <c r="L273" i="12"/>
  <c r="M273" i="12" s="1"/>
  <c r="N273" i="12" s="1"/>
  <c r="L281" i="12"/>
  <c r="M281" i="12" s="1"/>
  <c r="N281" i="12" s="1"/>
  <c r="L289" i="12"/>
  <c r="M289" i="12" s="1"/>
  <c r="N289" i="12" s="1"/>
  <c r="L297" i="12"/>
  <c r="M297" i="12" s="1"/>
  <c r="N297" i="12" s="1"/>
  <c r="L18" i="12"/>
  <c r="M18" i="12" s="1"/>
  <c r="N18" i="12" s="1"/>
  <c r="L26" i="12"/>
  <c r="M26" i="12" s="1"/>
  <c r="N26" i="12" s="1"/>
  <c r="L34" i="12"/>
  <c r="M34" i="12" s="1"/>
  <c r="N34" i="12" s="1"/>
  <c r="L42" i="12"/>
  <c r="M42" i="12" s="1"/>
  <c r="N42" i="12" s="1"/>
  <c r="L50" i="12"/>
  <c r="M50" i="12" s="1"/>
  <c r="N50" i="12" s="1"/>
  <c r="L58" i="12"/>
  <c r="M58" i="12" s="1"/>
  <c r="N58" i="12" s="1"/>
  <c r="L66" i="12"/>
  <c r="M66" i="12" s="1"/>
  <c r="N66" i="12" s="1"/>
  <c r="L74" i="12"/>
  <c r="M74" i="12" s="1"/>
  <c r="N74" i="12" s="1"/>
  <c r="L82" i="12"/>
  <c r="M82" i="12" s="1"/>
  <c r="N82" i="12" s="1"/>
  <c r="L90" i="12"/>
  <c r="M90" i="12" s="1"/>
  <c r="N90" i="12" s="1"/>
  <c r="L98" i="12"/>
  <c r="M98" i="12" s="1"/>
  <c r="N98" i="12" s="1"/>
  <c r="L106" i="12"/>
  <c r="M106" i="12" s="1"/>
  <c r="N106" i="12" s="1"/>
  <c r="L114" i="12"/>
  <c r="M114" i="12" s="1"/>
  <c r="N114" i="12" s="1"/>
  <c r="L122" i="12"/>
  <c r="M122" i="12" s="1"/>
  <c r="N122" i="12" s="1"/>
  <c r="L130" i="12"/>
  <c r="M130" i="12" s="1"/>
  <c r="N130" i="12" s="1"/>
  <c r="L138" i="12"/>
  <c r="M138" i="12" s="1"/>
  <c r="N138" i="12" s="1"/>
  <c r="L146" i="12"/>
  <c r="M146" i="12" s="1"/>
  <c r="N146" i="12" s="1"/>
  <c r="L154" i="12"/>
  <c r="M154" i="12" s="1"/>
  <c r="N154" i="12" s="1"/>
  <c r="L162" i="12"/>
  <c r="M162" i="12" s="1"/>
  <c r="N162" i="12" s="1"/>
  <c r="L170" i="12"/>
  <c r="M170" i="12" s="1"/>
  <c r="N170" i="12" s="1"/>
  <c r="L178" i="12"/>
  <c r="M178" i="12" s="1"/>
  <c r="N178" i="12" s="1"/>
  <c r="L186" i="12"/>
  <c r="M186" i="12" s="1"/>
  <c r="N186" i="12" s="1"/>
  <c r="L194" i="12"/>
  <c r="M194" i="12" s="1"/>
  <c r="N194" i="12" s="1"/>
  <c r="L202" i="12"/>
  <c r="M202" i="12" s="1"/>
  <c r="N202" i="12" s="1"/>
  <c r="L210" i="12"/>
  <c r="M210" i="12" s="1"/>
  <c r="N210" i="12" s="1"/>
  <c r="L218" i="12"/>
  <c r="M218" i="12" s="1"/>
  <c r="N218" i="12" s="1"/>
  <c r="L226" i="12"/>
  <c r="M226" i="12" s="1"/>
  <c r="N226" i="12" s="1"/>
  <c r="L234" i="12"/>
  <c r="M234" i="12" s="1"/>
  <c r="N234" i="12" s="1"/>
  <c r="L242" i="12"/>
  <c r="M242" i="12" s="1"/>
  <c r="N242" i="12" s="1"/>
  <c r="L250" i="12"/>
  <c r="M250" i="12" s="1"/>
  <c r="N250" i="12" s="1"/>
  <c r="L258" i="12"/>
  <c r="M258" i="12" s="1"/>
  <c r="N258" i="12" s="1"/>
  <c r="L266" i="12"/>
  <c r="M266" i="12" s="1"/>
  <c r="N266" i="12" s="1"/>
  <c r="L274" i="12"/>
  <c r="M274" i="12" s="1"/>
  <c r="N274" i="12" s="1"/>
  <c r="L282" i="12"/>
  <c r="M282" i="12" s="1"/>
  <c r="N282" i="12" s="1"/>
  <c r="L290" i="12"/>
  <c r="M290" i="12" s="1"/>
  <c r="N290" i="12" s="1"/>
  <c r="L298" i="12"/>
  <c r="M298" i="12" s="1"/>
  <c r="N298" i="12" s="1"/>
  <c r="L19" i="12"/>
  <c r="M19" i="12" s="1"/>
  <c r="N19" i="12" s="1"/>
  <c r="L27" i="12"/>
  <c r="M27" i="12" s="1"/>
  <c r="N27" i="12" s="1"/>
  <c r="L35" i="12"/>
  <c r="M35" i="12" s="1"/>
  <c r="N35" i="12" s="1"/>
  <c r="L43" i="12"/>
  <c r="M43" i="12" s="1"/>
  <c r="N43" i="12" s="1"/>
  <c r="L51" i="12"/>
  <c r="M51" i="12" s="1"/>
  <c r="N51" i="12" s="1"/>
  <c r="L59" i="12"/>
  <c r="M59" i="12" s="1"/>
  <c r="N59" i="12" s="1"/>
  <c r="L67" i="12"/>
  <c r="M67" i="12" s="1"/>
  <c r="N67" i="12" s="1"/>
  <c r="L75" i="12"/>
  <c r="M75" i="12" s="1"/>
  <c r="N75" i="12" s="1"/>
  <c r="L83" i="12"/>
  <c r="M83" i="12" s="1"/>
  <c r="N83" i="12" s="1"/>
  <c r="L91" i="12"/>
  <c r="M91" i="12" s="1"/>
  <c r="N91" i="12" s="1"/>
  <c r="L99" i="12"/>
  <c r="M99" i="12" s="1"/>
  <c r="N99" i="12" s="1"/>
  <c r="L107" i="12"/>
  <c r="M107" i="12" s="1"/>
  <c r="N107" i="12" s="1"/>
  <c r="L115" i="12"/>
  <c r="M115" i="12" s="1"/>
  <c r="N115" i="12" s="1"/>
  <c r="L123" i="12"/>
  <c r="M123" i="12" s="1"/>
  <c r="N123" i="12" s="1"/>
  <c r="L131" i="12"/>
  <c r="M131" i="12" s="1"/>
  <c r="N131" i="12" s="1"/>
  <c r="L139" i="12"/>
  <c r="M139" i="12" s="1"/>
  <c r="N139" i="12" s="1"/>
  <c r="L147" i="12"/>
  <c r="M147" i="12" s="1"/>
  <c r="N147" i="12" s="1"/>
  <c r="L155" i="12"/>
  <c r="M155" i="12" s="1"/>
  <c r="N155" i="12" s="1"/>
  <c r="L163" i="12"/>
  <c r="M163" i="12" s="1"/>
  <c r="N163" i="12" s="1"/>
  <c r="L171" i="12"/>
  <c r="M171" i="12" s="1"/>
  <c r="N171" i="12" s="1"/>
  <c r="L179" i="12"/>
  <c r="M179" i="12" s="1"/>
  <c r="N179" i="12" s="1"/>
  <c r="L187" i="12"/>
  <c r="M187" i="12" s="1"/>
  <c r="N187" i="12" s="1"/>
  <c r="L195" i="12"/>
  <c r="M195" i="12" s="1"/>
  <c r="N195" i="12" s="1"/>
  <c r="L203" i="12"/>
  <c r="M203" i="12" s="1"/>
  <c r="N203" i="12" s="1"/>
  <c r="L211" i="12"/>
  <c r="M211" i="12" s="1"/>
  <c r="N211" i="12" s="1"/>
  <c r="L219" i="12"/>
  <c r="M219" i="12" s="1"/>
  <c r="N219" i="12" s="1"/>
  <c r="L227" i="12"/>
  <c r="M227" i="12" s="1"/>
  <c r="N227" i="12" s="1"/>
  <c r="L235" i="12"/>
  <c r="M235" i="12" s="1"/>
  <c r="N235" i="12" s="1"/>
  <c r="L243" i="12"/>
  <c r="M243" i="12" s="1"/>
  <c r="N243" i="12" s="1"/>
  <c r="L251" i="12"/>
  <c r="M251" i="12" s="1"/>
  <c r="N251" i="12" s="1"/>
  <c r="L259" i="12"/>
  <c r="M259" i="12" s="1"/>
  <c r="N259" i="12" s="1"/>
  <c r="L267" i="12"/>
  <c r="M267" i="12" s="1"/>
  <c r="N267" i="12" s="1"/>
  <c r="L275" i="12"/>
  <c r="M275" i="12" s="1"/>
  <c r="N275" i="12" s="1"/>
  <c r="L283" i="12"/>
  <c r="M283" i="12" s="1"/>
  <c r="N283" i="12" s="1"/>
  <c r="L291" i="12"/>
  <c r="M291" i="12" s="1"/>
  <c r="N291" i="12" s="1"/>
  <c r="L16" i="12"/>
  <c r="M16" i="12" s="1"/>
  <c r="N16" i="12" s="1"/>
  <c r="L48" i="12"/>
  <c r="M48" i="12" s="1"/>
  <c r="N48" i="12" s="1"/>
  <c r="L80" i="12"/>
  <c r="M80" i="12" s="1"/>
  <c r="N80" i="12" s="1"/>
  <c r="L112" i="12"/>
  <c r="M112" i="12" s="1"/>
  <c r="N112" i="12" s="1"/>
  <c r="L144" i="12"/>
  <c r="M144" i="12" s="1"/>
  <c r="N144" i="12" s="1"/>
  <c r="L176" i="12"/>
  <c r="M176" i="12" s="1"/>
  <c r="N176" i="12" s="1"/>
  <c r="L208" i="12"/>
  <c r="M208" i="12" s="1"/>
  <c r="N208" i="12" s="1"/>
  <c r="L240" i="12"/>
  <c r="M240" i="12" s="1"/>
  <c r="N240" i="12" s="1"/>
  <c r="L272" i="12"/>
  <c r="M272" i="12" s="1"/>
  <c r="N272" i="12" s="1"/>
  <c r="L300" i="12"/>
  <c r="M300" i="12" s="1"/>
  <c r="N300" i="12" s="1"/>
  <c r="L60" i="12"/>
  <c r="M60" i="12" s="1"/>
  <c r="N60" i="12" s="1"/>
  <c r="L124" i="12"/>
  <c r="M124" i="12" s="1"/>
  <c r="N124" i="12" s="1"/>
  <c r="L188" i="12"/>
  <c r="M188" i="12" s="1"/>
  <c r="N188" i="12" s="1"/>
  <c r="L220" i="12"/>
  <c r="M220" i="12" s="1"/>
  <c r="N220" i="12" s="1"/>
  <c r="L284" i="12"/>
  <c r="M284" i="12" s="1"/>
  <c r="N284" i="12" s="1"/>
  <c r="L20" i="12"/>
  <c r="M20" i="12" s="1"/>
  <c r="N20" i="12" s="1"/>
  <c r="L52" i="12"/>
  <c r="M52" i="12" s="1"/>
  <c r="N52" i="12" s="1"/>
  <c r="L84" i="12"/>
  <c r="M84" i="12" s="1"/>
  <c r="N84" i="12" s="1"/>
  <c r="L116" i="12"/>
  <c r="M116" i="12" s="1"/>
  <c r="N116" i="12" s="1"/>
  <c r="L148" i="12"/>
  <c r="M148" i="12" s="1"/>
  <c r="N148" i="12" s="1"/>
  <c r="L180" i="12"/>
  <c r="M180" i="12" s="1"/>
  <c r="N180" i="12" s="1"/>
  <c r="L212" i="12"/>
  <c r="M212" i="12" s="1"/>
  <c r="N212" i="12" s="1"/>
  <c r="L244" i="12"/>
  <c r="M244" i="12" s="1"/>
  <c r="N244" i="12" s="1"/>
  <c r="L276" i="12"/>
  <c r="M276" i="12" s="1"/>
  <c r="N276" i="12" s="1"/>
  <c r="L304" i="12"/>
  <c r="M304" i="12" s="1"/>
  <c r="N304" i="12" s="1"/>
  <c r="L92" i="12"/>
  <c r="M92" i="12" s="1"/>
  <c r="N92" i="12" s="1"/>
  <c r="L24" i="12"/>
  <c r="M24" i="12" s="1"/>
  <c r="N24" i="12" s="1"/>
  <c r="L56" i="12"/>
  <c r="M56" i="12" s="1"/>
  <c r="N56" i="12" s="1"/>
  <c r="L88" i="12"/>
  <c r="M88" i="12" s="1"/>
  <c r="N88" i="12" s="1"/>
  <c r="L120" i="12"/>
  <c r="M120" i="12" s="1"/>
  <c r="N120" i="12" s="1"/>
  <c r="L152" i="12"/>
  <c r="M152" i="12" s="1"/>
  <c r="N152" i="12" s="1"/>
  <c r="L184" i="12"/>
  <c r="M184" i="12" s="1"/>
  <c r="N184" i="12" s="1"/>
  <c r="L216" i="12"/>
  <c r="M216" i="12" s="1"/>
  <c r="N216" i="12" s="1"/>
  <c r="L248" i="12"/>
  <c r="M248" i="12" s="1"/>
  <c r="N248" i="12" s="1"/>
  <c r="L280" i="12"/>
  <c r="M280" i="12" s="1"/>
  <c r="N280" i="12" s="1"/>
  <c r="L28" i="12"/>
  <c r="M28" i="12" s="1"/>
  <c r="N28" i="12" s="1"/>
  <c r="L156" i="12"/>
  <c r="M156" i="12" s="1"/>
  <c r="N156" i="12" s="1"/>
  <c r="L252" i="12"/>
  <c r="M252" i="12" s="1"/>
  <c r="N252" i="12" s="1"/>
  <c r="L32" i="12"/>
  <c r="M32" i="12" s="1"/>
  <c r="N32" i="12" s="1"/>
  <c r="L64" i="12"/>
  <c r="M64" i="12" s="1"/>
  <c r="N64" i="12" s="1"/>
  <c r="L96" i="12"/>
  <c r="M96" i="12" s="1"/>
  <c r="N96" i="12" s="1"/>
  <c r="L128" i="12"/>
  <c r="M128" i="12" s="1"/>
  <c r="N128" i="12" s="1"/>
  <c r="L160" i="12"/>
  <c r="M160" i="12" s="1"/>
  <c r="N160" i="12" s="1"/>
  <c r="L192" i="12"/>
  <c r="M192" i="12" s="1"/>
  <c r="N192" i="12" s="1"/>
  <c r="L224" i="12"/>
  <c r="M224" i="12" s="1"/>
  <c r="N224" i="12" s="1"/>
  <c r="L256" i="12"/>
  <c r="M256" i="12" s="1"/>
  <c r="N256" i="12" s="1"/>
  <c r="L288" i="12"/>
  <c r="M288" i="12" s="1"/>
  <c r="N288" i="12" s="1"/>
  <c r="L72" i="12"/>
  <c r="M72" i="12" s="1"/>
  <c r="N72" i="12" s="1"/>
  <c r="L76" i="12"/>
  <c r="M76" i="12" s="1"/>
  <c r="N76" i="12" s="1"/>
  <c r="L140" i="12"/>
  <c r="M140" i="12" s="1"/>
  <c r="N140" i="12" s="1"/>
  <c r="L204" i="12"/>
  <c r="M204" i="12" s="1"/>
  <c r="N204" i="12" s="1"/>
  <c r="L299" i="12"/>
  <c r="M299" i="12" s="1"/>
  <c r="N299" i="12" s="1"/>
  <c r="L36" i="12"/>
  <c r="M36" i="12" s="1"/>
  <c r="N36" i="12" s="1"/>
  <c r="L68" i="12"/>
  <c r="M68" i="12" s="1"/>
  <c r="N68" i="12" s="1"/>
  <c r="L100" i="12"/>
  <c r="M100" i="12" s="1"/>
  <c r="N100" i="12" s="1"/>
  <c r="L132" i="12"/>
  <c r="M132" i="12" s="1"/>
  <c r="N132" i="12" s="1"/>
  <c r="L164" i="12"/>
  <c r="M164" i="12" s="1"/>
  <c r="N164" i="12" s="1"/>
  <c r="L196" i="12"/>
  <c r="M196" i="12" s="1"/>
  <c r="N196" i="12" s="1"/>
  <c r="L228" i="12"/>
  <c r="M228" i="12" s="1"/>
  <c r="N228" i="12" s="1"/>
  <c r="L260" i="12"/>
  <c r="M260" i="12" s="1"/>
  <c r="N260" i="12" s="1"/>
  <c r="L292" i="12"/>
  <c r="M292" i="12" s="1"/>
  <c r="N292" i="12" s="1"/>
  <c r="L40" i="12"/>
  <c r="M40" i="12" s="1"/>
  <c r="N40" i="12" s="1"/>
  <c r="L104" i="12"/>
  <c r="M104" i="12" s="1"/>
  <c r="N104" i="12" s="1"/>
  <c r="L136" i="12"/>
  <c r="M136" i="12" s="1"/>
  <c r="N136" i="12" s="1"/>
  <c r="L168" i="12"/>
  <c r="M168" i="12" s="1"/>
  <c r="N168" i="12" s="1"/>
  <c r="L200" i="12"/>
  <c r="M200" i="12" s="1"/>
  <c r="N200" i="12" s="1"/>
  <c r="L232" i="12"/>
  <c r="M232" i="12" s="1"/>
  <c r="N232" i="12" s="1"/>
  <c r="L264" i="12"/>
  <c r="M264" i="12" s="1"/>
  <c r="N264" i="12" s="1"/>
  <c r="L296" i="12"/>
  <c r="M296" i="12" s="1"/>
  <c r="N296" i="12" s="1"/>
  <c r="L44" i="12"/>
  <c r="M44" i="12" s="1"/>
  <c r="N44" i="12" s="1"/>
  <c r="L108" i="12"/>
  <c r="M108" i="12" s="1"/>
  <c r="N108" i="12" s="1"/>
  <c r="L172" i="12"/>
  <c r="M172" i="12" s="1"/>
  <c r="N172" i="12" s="1"/>
  <c r="L236" i="12"/>
  <c r="M236" i="12" s="1"/>
  <c r="N236" i="12" s="1"/>
  <c r="L268" i="12"/>
  <c r="M268" i="12" s="1"/>
  <c r="N268" i="12" s="1"/>
  <c r="L6" i="7"/>
  <c r="R6" i="7" l="1"/>
  <c r="P6" i="7"/>
  <c r="N11" i="12"/>
  <c r="M11" i="12" s="1"/>
  <c r="C4" i="11" l="1"/>
  <c r="F7" i="10"/>
  <c r="C7" i="10"/>
  <c r="N7" i="10" s="1"/>
  <c r="N8" i="10" l="1"/>
  <c r="N70" i="10"/>
  <c r="N134" i="10"/>
  <c r="N198" i="10"/>
  <c r="N262" i="10"/>
  <c r="N257" i="10"/>
  <c r="N187" i="10"/>
  <c r="N188" i="10"/>
  <c r="N173" i="10"/>
  <c r="N55" i="10"/>
  <c r="N119" i="10"/>
  <c r="N183" i="10"/>
  <c r="N247" i="10"/>
  <c r="N225" i="10"/>
  <c r="N44" i="10"/>
  <c r="N189" i="10"/>
  <c r="N56" i="10"/>
  <c r="N120" i="10"/>
  <c r="N184" i="10"/>
  <c r="N248" i="10"/>
  <c r="N233" i="10"/>
  <c r="N139" i="10"/>
  <c r="N116" i="10"/>
  <c r="N133" i="10"/>
  <c r="N41" i="10"/>
  <c r="N105" i="10"/>
  <c r="N169" i="10"/>
  <c r="N147" i="10"/>
  <c r="N180" i="10"/>
  <c r="N181" i="10"/>
  <c r="N42" i="10"/>
  <c r="N106" i="10"/>
  <c r="N170" i="10"/>
  <c r="N234" i="10"/>
  <c r="N163" i="10"/>
  <c r="N156" i="10"/>
  <c r="N165" i="10"/>
  <c r="N273" i="10"/>
  <c r="N172" i="10"/>
  <c r="N49" i="10"/>
  <c r="N201" i="10"/>
  <c r="N179" i="10"/>
  <c r="N205" i="10"/>
  <c r="N50" i="10"/>
  <c r="N178" i="10"/>
  <c r="N242" i="10"/>
  <c r="N203" i="10"/>
  <c r="N213" i="10"/>
  <c r="N250" i="10"/>
  <c r="N236" i="10"/>
  <c r="N272" i="10"/>
  <c r="N285" i="10"/>
  <c r="N251" i="10"/>
  <c r="N130" i="10"/>
  <c r="N275" i="10"/>
  <c r="N87" i="10"/>
  <c r="N24" i="10"/>
  <c r="N283" i="10"/>
  <c r="N137" i="10"/>
  <c r="N10" i="10"/>
  <c r="N37" i="10"/>
  <c r="N68" i="10"/>
  <c r="N159" i="10"/>
  <c r="N13" i="10"/>
  <c r="N288" i="10"/>
  <c r="N81" i="10"/>
  <c r="N69" i="10"/>
  <c r="N52" i="10"/>
  <c r="N91" i="10"/>
  <c r="N126" i="10"/>
  <c r="N148" i="10"/>
  <c r="N48" i="10"/>
  <c r="N92" i="10"/>
  <c r="N157" i="10"/>
  <c r="N124" i="10"/>
  <c r="N14" i="10"/>
  <c r="N78" i="10"/>
  <c r="N142" i="10"/>
  <c r="N206" i="10"/>
  <c r="N270" i="10"/>
  <c r="N281" i="10"/>
  <c r="N227" i="10"/>
  <c r="N228" i="10"/>
  <c r="N221" i="10"/>
  <c r="N63" i="10"/>
  <c r="N127" i="10"/>
  <c r="N191" i="10"/>
  <c r="N255" i="10"/>
  <c r="N265" i="10"/>
  <c r="N100" i="10"/>
  <c r="N229" i="10"/>
  <c r="N64" i="10"/>
  <c r="N128" i="10"/>
  <c r="N192" i="10"/>
  <c r="N256" i="10"/>
  <c r="N171" i="10"/>
  <c r="N197" i="10"/>
  <c r="N113" i="10"/>
  <c r="N212" i="10"/>
  <c r="N114" i="10"/>
  <c r="N196" i="10"/>
  <c r="N253" i="10"/>
  <c r="N282" i="10"/>
  <c r="N129" i="10"/>
  <c r="N284" i="10"/>
  <c r="N194" i="10"/>
  <c r="N277" i="10"/>
  <c r="N215" i="10"/>
  <c r="N268" i="10"/>
  <c r="N216" i="10"/>
  <c r="N9" i="10"/>
  <c r="N291" i="10"/>
  <c r="N138" i="10"/>
  <c r="N132" i="10"/>
  <c r="N83" i="10"/>
  <c r="N31" i="10"/>
  <c r="N287" i="10"/>
  <c r="N160" i="10"/>
  <c r="N17" i="10"/>
  <c r="N36" i="10"/>
  <c r="N59" i="10"/>
  <c r="N117" i="10"/>
  <c r="N93" i="10"/>
  <c r="N241" i="10"/>
  <c r="N175" i="10"/>
  <c r="N176" i="10"/>
  <c r="N33" i="10"/>
  <c r="N162" i="10"/>
  <c r="N22" i="10"/>
  <c r="N86" i="10"/>
  <c r="N150" i="10"/>
  <c r="N214" i="10"/>
  <c r="N278" i="10"/>
  <c r="N258" i="10"/>
  <c r="N259" i="10"/>
  <c r="N260" i="10"/>
  <c r="N261" i="10"/>
  <c r="N71" i="10"/>
  <c r="N135" i="10"/>
  <c r="N199" i="10"/>
  <c r="N263" i="10"/>
  <c r="N297" i="10"/>
  <c r="N164" i="10"/>
  <c r="N269" i="10"/>
  <c r="N72" i="10"/>
  <c r="N136" i="10"/>
  <c r="N200" i="10"/>
  <c r="N264" i="10"/>
  <c r="N266" i="10"/>
  <c r="N195" i="10"/>
  <c r="N204" i="10"/>
  <c r="N245" i="10"/>
  <c r="N57" i="10"/>
  <c r="N121" i="10"/>
  <c r="N217" i="10"/>
  <c r="N219" i="10"/>
  <c r="N252" i="10"/>
  <c r="N237" i="10"/>
  <c r="N58" i="10"/>
  <c r="N122" i="10"/>
  <c r="N186" i="10"/>
  <c r="N235" i="10"/>
  <c r="N208" i="10"/>
  <c r="N65" i="10"/>
  <c r="N293" i="10"/>
  <c r="N274" i="10"/>
  <c r="N23" i="10"/>
  <c r="N88" i="10"/>
  <c r="N292" i="10"/>
  <c r="N289" i="10"/>
  <c r="N74" i="10"/>
  <c r="N12" i="10"/>
  <c r="N177" i="10"/>
  <c r="N95" i="10"/>
  <c r="N131" i="10"/>
  <c r="N224" i="10"/>
  <c r="N21" i="10"/>
  <c r="N11" i="10"/>
  <c r="N146" i="10"/>
  <c r="N26" i="10"/>
  <c r="N76" i="10"/>
  <c r="N155" i="10"/>
  <c r="N47" i="10"/>
  <c r="N267" i="10"/>
  <c r="N240" i="10"/>
  <c r="N97" i="10"/>
  <c r="N34" i="10"/>
  <c r="N125" i="10"/>
  <c r="N30" i="10"/>
  <c r="N94" i="10"/>
  <c r="N158" i="10"/>
  <c r="N222" i="10"/>
  <c r="N286" i="10"/>
  <c r="N298" i="10"/>
  <c r="N299" i="10"/>
  <c r="N300" i="10"/>
  <c r="N15" i="10"/>
  <c r="N79" i="10"/>
  <c r="N143" i="10"/>
  <c r="N207" i="10"/>
  <c r="N271" i="10"/>
  <c r="N290" i="10"/>
  <c r="N220" i="10"/>
  <c r="N16" i="10"/>
  <c r="N80" i="10"/>
  <c r="N144" i="10"/>
  <c r="N243" i="10"/>
  <c r="N244" i="10"/>
  <c r="N249" i="10"/>
  <c r="N66" i="10"/>
  <c r="N276" i="10"/>
  <c r="N279" i="10"/>
  <c r="N152" i="10"/>
  <c r="N19" i="10"/>
  <c r="N73" i="10"/>
  <c r="N29" i="10"/>
  <c r="N27" i="10"/>
  <c r="N238" i="10"/>
  <c r="N223" i="10"/>
  <c r="N96" i="10"/>
  <c r="N20" i="10"/>
  <c r="N145" i="10"/>
  <c r="N82" i="10"/>
  <c r="N53" i="10"/>
  <c r="N218" i="10"/>
  <c r="N190" i="10"/>
  <c r="N149" i="10"/>
  <c r="N141" i="10"/>
  <c r="N107" i="10"/>
  <c r="N140" i="10"/>
  <c r="N123" i="10"/>
  <c r="N38" i="10"/>
  <c r="N102" i="10"/>
  <c r="N166" i="10"/>
  <c r="N230" i="10"/>
  <c r="N294" i="10"/>
  <c r="N43" i="10"/>
  <c r="N28" i="10"/>
  <c r="N45" i="10"/>
  <c r="N151" i="10"/>
  <c r="N35" i="10"/>
  <c r="N280" i="10"/>
  <c r="N202" i="10"/>
  <c r="N51" i="10"/>
  <c r="N18" i="10"/>
  <c r="N90" i="10"/>
  <c r="N62" i="10"/>
  <c r="N239" i="10"/>
  <c r="N193" i="10"/>
  <c r="N99" i="10"/>
  <c r="N226" i="10"/>
  <c r="N46" i="10"/>
  <c r="N110" i="10"/>
  <c r="N174" i="10"/>
  <c r="N77" i="10"/>
  <c r="N32" i="10"/>
  <c r="N210" i="10"/>
  <c r="N185" i="10"/>
  <c r="N161" i="10"/>
  <c r="N54" i="10"/>
  <c r="N118" i="10"/>
  <c r="N182" i="10"/>
  <c r="N246" i="10"/>
  <c r="N209" i="10"/>
  <c r="N115" i="10"/>
  <c r="N108" i="10"/>
  <c r="N109" i="10"/>
  <c r="N39" i="10"/>
  <c r="N103" i="10"/>
  <c r="N167" i="10"/>
  <c r="N231" i="10"/>
  <c r="N295" i="10"/>
  <c r="N211" i="10"/>
  <c r="N85" i="10"/>
  <c r="N40" i="10"/>
  <c r="N104" i="10"/>
  <c r="N168" i="10"/>
  <c r="N232" i="10"/>
  <c r="N296" i="10"/>
  <c r="N75" i="10"/>
  <c r="N60" i="10"/>
  <c r="N61" i="10"/>
  <c r="N25" i="10"/>
  <c r="N89" i="10"/>
  <c r="N153" i="10"/>
  <c r="N67" i="10"/>
  <c r="N84" i="10"/>
  <c r="N154" i="10"/>
  <c r="N254" i="10"/>
  <c r="N111" i="10"/>
  <c r="N112" i="10"/>
  <c r="N101" i="10"/>
  <c r="N98" i="10"/>
  <c r="AD12" i="9"/>
  <c r="O12" i="9" l="1"/>
  <c r="P6" i="8"/>
  <c r="I4" i="11" l="1"/>
  <c r="J4" i="11"/>
  <c r="H4" i="11"/>
  <c r="G4" i="11"/>
  <c r="F4" i="11"/>
  <c r="E4" i="11"/>
  <c r="D4" i="11"/>
  <c r="R7" i="10" l="1"/>
  <c r="Q7" i="10"/>
  <c r="P7" i="10"/>
  <c r="U12" i="9"/>
  <c r="P12" i="9" l="1"/>
  <c r="J6" i="8" l="1"/>
  <c r="C6" i="8"/>
  <c r="H6" i="8"/>
  <c r="G6" i="8"/>
  <c r="F6" i="8"/>
  <c r="E6" i="8"/>
  <c r="D6" i="8"/>
  <c r="N6" i="7"/>
  <c r="K6" i="7"/>
  <c r="I6" i="7"/>
  <c r="H6" i="7"/>
  <c r="E6" i="7"/>
  <c r="D6" i="7"/>
  <c r="C6" i="7"/>
  <c r="K12" i="9" l="1"/>
  <c r="L12" i="9" s="1"/>
  <c r="M12" i="9" s="1"/>
  <c r="J12" i="9"/>
  <c r="I12" i="9"/>
  <c r="E12" i="9"/>
  <c r="F12" i="9" l="1"/>
  <c r="G12" i="9" s="1"/>
  <c r="G21" i="9" l="1"/>
  <c r="G29" i="9"/>
  <c r="G37" i="9"/>
  <c r="G45" i="9"/>
  <c r="G53" i="9"/>
  <c r="G61" i="9"/>
  <c r="G69" i="9"/>
  <c r="G77" i="9"/>
  <c r="G85" i="9"/>
  <c r="G93" i="9"/>
  <c r="G101" i="9"/>
  <c r="G109" i="9"/>
  <c r="G117" i="9"/>
  <c r="G125" i="9"/>
  <c r="G133" i="9"/>
  <c r="G141" i="9"/>
  <c r="G149" i="9"/>
  <c r="G157" i="9"/>
  <c r="G165" i="9"/>
  <c r="G173" i="9"/>
  <c r="G181" i="9"/>
  <c r="G189" i="9"/>
  <c r="G197" i="9"/>
  <c r="G205" i="9"/>
  <c r="G213" i="9"/>
  <c r="G221" i="9"/>
  <c r="G229" i="9"/>
  <c r="G237" i="9"/>
  <c r="G245" i="9"/>
  <c r="G253" i="9"/>
  <c r="G261" i="9"/>
  <c r="G269" i="9"/>
  <c r="G277" i="9"/>
  <c r="G285" i="9"/>
  <c r="G293" i="9"/>
  <c r="G301" i="9"/>
  <c r="G14" i="9"/>
  <c r="G22" i="9"/>
  <c r="G30" i="9"/>
  <c r="G38" i="9"/>
  <c r="G46" i="9"/>
  <c r="G54" i="9"/>
  <c r="G62" i="9"/>
  <c r="G70" i="9"/>
  <c r="G78" i="9"/>
  <c r="G86" i="9"/>
  <c r="G94" i="9"/>
  <c r="G102" i="9"/>
  <c r="G110" i="9"/>
  <c r="G118" i="9"/>
  <c r="G126" i="9"/>
  <c r="G134" i="9"/>
  <c r="G142" i="9"/>
  <c r="G150" i="9"/>
  <c r="G158" i="9"/>
  <c r="G166" i="9"/>
  <c r="G174" i="9"/>
  <c r="G182" i="9"/>
  <c r="G190" i="9"/>
  <c r="G198" i="9"/>
  <c r="G206" i="9"/>
  <c r="G214" i="9"/>
  <c r="G222" i="9"/>
  <c r="G230" i="9"/>
  <c r="G238" i="9"/>
  <c r="G246" i="9"/>
  <c r="G254" i="9"/>
  <c r="G262" i="9"/>
  <c r="G270" i="9"/>
  <c r="G278" i="9"/>
  <c r="G286" i="9"/>
  <c r="G294" i="9"/>
  <c r="G302" i="9"/>
  <c r="G15" i="9"/>
  <c r="G23" i="9"/>
  <c r="G31" i="9"/>
  <c r="G39" i="9"/>
  <c r="G47" i="9"/>
  <c r="G55" i="9"/>
  <c r="G63" i="9"/>
  <c r="G71" i="9"/>
  <c r="G79" i="9"/>
  <c r="G87" i="9"/>
  <c r="G95" i="9"/>
  <c r="G103" i="9"/>
  <c r="G111" i="9"/>
  <c r="G119" i="9"/>
  <c r="G127" i="9"/>
  <c r="G135" i="9"/>
  <c r="G143" i="9"/>
  <c r="G151" i="9"/>
  <c r="G159" i="9"/>
  <c r="G167" i="9"/>
  <c r="G175" i="9"/>
  <c r="G183" i="9"/>
  <c r="G191" i="9"/>
  <c r="G199" i="9"/>
  <c r="G207" i="9"/>
  <c r="G215" i="9"/>
  <c r="G223" i="9"/>
  <c r="G231" i="9"/>
  <c r="G239" i="9"/>
  <c r="G247" i="9"/>
  <c r="G255" i="9"/>
  <c r="G263" i="9"/>
  <c r="G271" i="9"/>
  <c r="G279" i="9"/>
  <c r="G287" i="9"/>
  <c r="G295" i="9"/>
  <c r="G303" i="9"/>
  <c r="G16" i="9"/>
  <c r="G24" i="9"/>
  <c r="G32" i="9"/>
  <c r="G40" i="9"/>
  <c r="G48" i="9"/>
  <c r="G56" i="9"/>
  <c r="G64" i="9"/>
  <c r="G72" i="9"/>
  <c r="G80" i="9"/>
  <c r="G88" i="9"/>
  <c r="G96" i="9"/>
  <c r="G104" i="9"/>
  <c r="G112" i="9"/>
  <c r="G120" i="9"/>
  <c r="G128" i="9"/>
  <c r="G136" i="9"/>
  <c r="G144" i="9"/>
  <c r="G152" i="9"/>
  <c r="G160" i="9"/>
  <c r="G168" i="9"/>
  <c r="G176" i="9"/>
  <c r="G184" i="9"/>
  <c r="G192" i="9"/>
  <c r="G200" i="9"/>
  <c r="G208" i="9"/>
  <c r="G216" i="9"/>
  <c r="G224" i="9"/>
  <c r="G232" i="9"/>
  <c r="G240" i="9"/>
  <c r="G248" i="9"/>
  <c r="G256" i="9"/>
  <c r="G264" i="9"/>
  <c r="G272" i="9"/>
  <c r="G280" i="9"/>
  <c r="G288" i="9"/>
  <c r="G296" i="9"/>
  <c r="G304" i="9"/>
  <c r="G17" i="9"/>
  <c r="G25" i="9"/>
  <c r="G33" i="9"/>
  <c r="G41" i="9"/>
  <c r="G49" i="9"/>
  <c r="G57" i="9"/>
  <c r="G65" i="9"/>
  <c r="G73" i="9"/>
  <c r="G81" i="9"/>
  <c r="G89" i="9"/>
  <c r="G97" i="9"/>
  <c r="G105" i="9"/>
  <c r="G113" i="9"/>
  <c r="G121" i="9"/>
  <c r="G129" i="9"/>
  <c r="G137" i="9"/>
  <c r="G145" i="9"/>
  <c r="G153" i="9"/>
  <c r="G161" i="9"/>
  <c r="G169" i="9"/>
  <c r="G177" i="9"/>
  <c r="G185" i="9"/>
  <c r="G193" i="9"/>
  <c r="G201" i="9"/>
  <c r="G209" i="9"/>
  <c r="G217" i="9"/>
  <c r="G225" i="9"/>
  <c r="G233" i="9"/>
  <c r="G241" i="9"/>
  <c r="G249" i="9"/>
  <c r="G257" i="9"/>
  <c r="G265" i="9"/>
  <c r="G273" i="9"/>
  <c r="G281" i="9"/>
  <c r="G289" i="9"/>
  <c r="G297" i="9"/>
  <c r="G305" i="9"/>
  <c r="G18" i="9"/>
  <c r="G26" i="9"/>
  <c r="G34" i="9"/>
  <c r="G42" i="9"/>
  <c r="G50" i="9"/>
  <c r="G58" i="9"/>
  <c r="G66" i="9"/>
  <c r="G74" i="9"/>
  <c r="G82" i="9"/>
  <c r="G90" i="9"/>
  <c r="G98" i="9"/>
  <c r="G106" i="9"/>
  <c r="G114" i="9"/>
  <c r="G122" i="9"/>
  <c r="G130" i="9"/>
  <c r="G138" i="9"/>
  <c r="G146" i="9"/>
  <c r="G154" i="9"/>
  <c r="G162" i="9"/>
  <c r="G170" i="9"/>
  <c r="G178" i="9"/>
  <c r="G186" i="9"/>
  <c r="G194" i="9"/>
  <c r="G202" i="9"/>
  <c r="G210" i="9"/>
  <c r="G218" i="9"/>
  <c r="G226" i="9"/>
  <c r="G234" i="9"/>
  <c r="G242" i="9"/>
  <c r="G250" i="9"/>
  <c r="G258" i="9"/>
  <c r="G266" i="9"/>
  <c r="G274" i="9"/>
  <c r="G282" i="9"/>
  <c r="G290" i="9"/>
  <c r="G298" i="9"/>
  <c r="G13" i="9"/>
  <c r="G19" i="9"/>
  <c r="G27" i="9"/>
  <c r="G35" i="9"/>
  <c r="G43" i="9"/>
  <c r="G51" i="9"/>
  <c r="G59" i="9"/>
  <c r="G67" i="9"/>
  <c r="G75" i="9"/>
  <c r="G83" i="9"/>
  <c r="G91" i="9"/>
  <c r="G99" i="9"/>
  <c r="G107" i="9"/>
  <c r="G115" i="9"/>
  <c r="G123" i="9"/>
  <c r="G131" i="9"/>
  <c r="G139" i="9"/>
  <c r="G147" i="9"/>
  <c r="G155" i="9"/>
  <c r="G163" i="9"/>
  <c r="G171" i="9"/>
  <c r="G179" i="9"/>
  <c r="G187" i="9"/>
  <c r="G195" i="9"/>
  <c r="G203" i="9"/>
  <c r="G211" i="9"/>
  <c r="G219" i="9"/>
  <c r="G227" i="9"/>
  <c r="G235" i="9"/>
  <c r="G243" i="9"/>
  <c r="G251" i="9"/>
  <c r="G259" i="9"/>
  <c r="G267" i="9"/>
  <c r="G275" i="9"/>
  <c r="G283" i="9"/>
  <c r="G291" i="9"/>
  <c r="G299" i="9"/>
  <c r="G20" i="9"/>
  <c r="G28" i="9"/>
  <c r="G36" i="9"/>
  <c r="G44" i="9"/>
  <c r="G52" i="9"/>
  <c r="G60" i="9"/>
  <c r="G68" i="9"/>
  <c r="G76" i="9"/>
  <c r="G84" i="9"/>
  <c r="G92" i="9"/>
  <c r="G100" i="9"/>
  <c r="G108" i="9"/>
  <c r="G116" i="9"/>
  <c r="G124" i="9"/>
  <c r="G132" i="9"/>
  <c r="G140" i="9"/>
  <c r="G148" i="9"/>
  <c r="G156" i="9"/>
  <c r="G164" i="9"/>
  <c r="G172" i="9"/>
  <c r="G180" i="9"/>
  <c r="G188" i="9"/>
  <c r="G196" i="9"/>
  <c r="G204" i="9"/>
  <c r="G212" i="9"/>
  <c r="G220" i="9"/>
  <c r="G228" i="9"/>
  <c r="G236" i="9"/>
  <c r="G244" i="9"/>
  <c r="G252" i="9"/>
  <c r="G260" i="9"/>
  <c r="G268" i="9"/>
  <c r="G276" i="9"/>
  <c r="G284" i="9"/>
  <c r="G292" i="9"/>
  <c r="G300" i="9"/>
  <c r="B3" i="9"/>
</calcChain>
</file>

<file path=xl/comments1.xml><?xml version="1.0" encoding="utf-8"?>
<comments xmlns="http://schemas.openxmlformats.org/spreadsheetml/2006/main">
  <authors>
    <author>Heimberg Unna (VM)</author>
  </authors>
  <commentList>
    <comment ref="N3" authorId="0" shapeId="0">
      <text>
        <r>
          <rPr>
            <b/>
            <sz val="9"/>
            <color indexed="81"/>
            <rFont val="Tahoma"/>
            <family val="2"/>
          </rPr>
          <t>Heimberg Unna (VM):</t>
        </r>
        <r>
          <rPr>
            <sz val="9"/>
            <color indexed="81"/>
            <rFont val="Tahoma"/>
            <family val="2"/>
          </rPr>
          <t xml:space="preserve">
Tällä erällä korjataan TE-palveluiden rahoitusta siten, että puolet rahoituksesta määräytyy kustannusperusteisesti (laskennallinen nykytila) ja puolet uusien valtionosuuskriteerien perusteella. Katso tarkemmin TE25-välilehdet tiedoston lopussa.</t>
        </r>
      </text>
    </comment>
  </commentList>
</comments>
</file>

<file path=xl/sharedStrings.xml><?xml version="1.0" encoding="utf-8"?>
<sst xmlns="http://schemas.openxmlformats.org/spreadsheetml/2006/main" count="3367" uniqueCount="957">
  <si>
    <t>Valtionosuusprosentti:</t>
  </si>
  <si>
    <t>Kuntien lkm</t>
  </si>
  <si>
    <t>Kuntanumero</t>
  </si>
  <si>
    <t>Kunta</t>
  </si>
  <si>
    <t>Ikärakenne, laskennallinen kustannus</t>
  </si>
  <si>
    <t>Laskennalliset kustannukset yhteensä</t>
  </si>
  <si>
    <t>Omarahoitusosuus, €/as</t>
  </si>
  <si>
    <t>Omarahoitusosuus, €</t>
  </si>
  <si>
    <t>Valtionosuus omarahoitusosuuden jälkeen (välisumma)</t>
  </si>
  <si>
    <t>Lisäosat yhteensä</t>
  </si>
  <si>
    <t>Valtionosuuteen tehtävät vähennykset ja lisäykset, netto</t>
  </si>
  <si>
    <t>YHTEENSÄ</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</si>
  <si>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</si>
  <si>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</si>
  <si>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</si>
  <si>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</si>
  <si>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</si>
  <si>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</si>
  <si>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</si>
  <si>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</si>
  <si>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</si>
  <si>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</si>
  <si>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</si>
  <si>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</si>
  <si>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</si>
  <si>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</si>
  <si>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</si>
  <si>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</si>
  <si>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</si>
  <si>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</si>
  <si>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</si>
  <si>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</si>
  <si>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</si>
  <si>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</si>
  <si>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</si>
  <si>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</si>
  <si>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</si>
  <si>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</si>
  <si>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</si>
  <si>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</si>
  <si>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</si>
  <si>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</si>
  <si>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</si>
  <si>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</si>
  <si>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</si>
  <si>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</si>
  <si>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</si>
  <si>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</si>
  <si>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</si>
  <si>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</si>
  <si>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</si>
  <si>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</si>
  <si>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</si>
  <si>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</si>
  <si>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</si>
  <si>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</si>
  <si>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</si>
  <si>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</si>
  <si>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</si>
  <si>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</si>
  <si>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</si>
  <si>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</si>
  <si>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</si>
  <si>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</si>
  <si>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</si>
  <si>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</si>
  <si>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</si>
  <si>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</si>
  <si>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</si>
  <si>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</si>
  <si>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</si>
  <si>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</si>
  <si>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</si>
  <si>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</si>
  <si>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</si>
  <si>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</si>
  <si>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</si>
  <si>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</si>
  <si>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</si>
  <si>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</si>
  <si>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</si>
  <si>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</si>
  <si>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</si>
  <si>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</si>
  <si>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</si>
  <si>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</si>
  <si>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</si>
  <si>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</si>
  <si>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</si>
  <si>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</si>
  <si>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</si>
  <si>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</si>
  <si>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</si>
  <si>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</si>
  <si>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</si>
  <si>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</si>
  <si>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</si>
  <si>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</si>
  <si>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</si>
  <si>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</si>
  <si>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</si>
  <si>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</si>
  <si>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</si>
  <si>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</si>
  <si>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</si>
  <si>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</si>
  <si>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</si>
  <si>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</si>
  <si>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</si>
  <si>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</si>
  <si>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</si>
  <si>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</si>
  <si>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</si>
  <si>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</si>
  <si>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</si>
  <si>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</si>
  <si>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</si>
  <si>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</si>
  <si>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</si>
  <si>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</si>
  <si>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</si>
  <si>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</si>
  <si>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</si>
  <si>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</si>
  <si>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</si>
  <si>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</si>
  <si>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</si>
  <si>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</si>
  <si>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</si>
  <si>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</si>
  <si>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</si>
  <si>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</si>
  <si>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</si>
  <si>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</si>
  <si>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</si>
  <si>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</si>
  <si>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</si>
  <si>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</si>
  <si>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</si>
  <si>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</si>
  <si>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</si>
  <si>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</si>
  <si>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</si>
  <si>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</si>
  <si>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</si>
  <si>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</si>
  <si>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</si>
  <si>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</si>
  <si>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</si>
  <si>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</si>
  <si>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</si>
  <si>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</si>
  <si>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</si>
  <si>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</si>
  <si>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</si>
  <si>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</si>
  <si>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</si>
  <si>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</si>
  <si>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</si>
  <si>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</si>
  <si>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</si>
  <si>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</si>
  <si>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</si>
  <si>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</si>
  <si>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</si>
  <si>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</si>
  <si>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</si>
  <si>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</si>
  <si>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</si>
  <si>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</si>
  <si>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</si>
  <si>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</si>
  <si>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</si>
  <si>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</si>
  <si>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</si>
  <si>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</si>
  <si>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</si>
  <si>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</si>
  <si>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</si>
  <si>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</si>
  <si>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</si>
  <si>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</si>
  <si>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</si>
  <si>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</si>
  <si>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</si>
  <si>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</si>
  <si>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</si>
  <si>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</si>
  <si>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</si>
  <si>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</si>
  <si>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</si>
  <si>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</si>
  <si>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</si>
  <si>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</si>
  <si>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</si>
  <si>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</si>
  <si>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</si>
  <si>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</si>
  <si>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</si>
  <si>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</si>
  <si>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</si>
  <si>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</si>
  <si>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</si>
  <si>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</si>
  <si>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</si>
  <si>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</si>
  <si>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</si>
  <si>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</si>
  <si>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</si>
  <si>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</si>
  <si>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</si>
  <si>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</si>
  <si>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</si>
  <si>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</si>
  <si>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</si>
  <si>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</si>
  <si>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</si>
  <si>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</si>
  <si>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</si>
  <si>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</si>
  <si>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</si>
  <si>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</si>
  <si>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</si>
  <si>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</si>
  <si>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</si>
  <si>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</si>
  <si>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</si>
  <si>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</si>
  <si>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</si>
  <si>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</si>
  <si>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</si>
  <si>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</si>
  <si>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</si>
  <si>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</si>
  <si>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</si>
  <si>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</si>
  <si>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</si>
  <si>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</si>
  <si>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</si>
  <si>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</si>
  <si>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</si>
  <si>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</si>
  <si>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</si>
  <si>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</si>
  <si>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</si>
  <si>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</si>
  <si>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</si>
  <si>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</si>
  <si>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</si>
  <si>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</si>
  <si>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</si>
  <si>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</si>
  <si>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</si>
  <si>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</si>
  <si>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</si>
  <si>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</si>
  <si>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</si>
  <si>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</si>
  <si>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</si>
  <si>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</si>
  <si>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</si>
  <si>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</si>
  <si>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</si>
  <si>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</si>
  <si>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</si>
  <si>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</si>
  <si>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</si>
  <si>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</si>
  <si>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</si>
  <si>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</si>
  <si>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</si>
  <si>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</si>
  <si>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</si>
  <si>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</si>
  <si>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</si>
  <si>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</si>
  <si>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</si>
  <si>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</si>
  <si>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</si>
  <si>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</si>
  <si>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</si>
  <si>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</si>
  <si>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</si>
  <si>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</si>
  <si>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</si>
  <si>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</si>
  <si>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</si>
  <si>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</si>
  <si>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</si>
  <si>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</si>
  <si>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</si>
  <si>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</si>
  <si>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</si>
  <si>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</si>
  <si>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</si>
  <si>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</si>
  <si>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</si>
  <si>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</si>
  <si>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</si>
  <si>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</si>
  <si>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</si>
  <si>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</si>
  <si>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</si>
  <si>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</si>
  <si>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</si>
  <si>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BJÖRNEBORGS SVENSKA SAMSKOLAS</t>
  </si>
  <si>
    <t>ANNA TAPION SÄÄTIÖ</t>
  </si>
  <si>
    <t>KOTKA SVENSKA SAMSKOLAS GARANT</t>
  </si>
  <si>
    <t>FÖRENINGEN FÖR SVENSKA SAMSKOL</t>
  </si>
  <si>
    <t>KOULUYHDISTYS PESTALOZZI SCHUL</t>
  </si>
  <si>
    <t>HELSINGIN UUSI YHTEISKOULU OY</t>
  </si>
  <si>
    <t>SKOLGARANTIFÖRENINGEN R.F.</t>
  </si>
  <si>
    <t>APOLLON YHTEISKOULUN KANNATUSY</t>
  </si>
  <si>
    <t>SUOMALAISEN YHTEISKOULUN OSAKE</t>
  </si>
  <si>
    <t>MAANVILJELYSLYSEON OSAKEYHTIÖ</t>
  </si>
  <si>
    <t>OY HELSINGIN YHTEISKOULU JA RE</t>
  </si>
  <si>
    <t>VIIPURIN REAALIKOULU OY</t>
  </si>
  <si>
    <t>KULOSAAREN YHTEISKOULUN OSAKEY</t>
  </si>
  <si>
    <t>ENGLANTILAISEN KOULUN SÄÄTIÖ</t>
  </si>
  <si>
    <t>LAHDEN RUDOLF STEINER -KOULUN</t>
  </si>
  <si>
    <t>TAMPEREEN STEINER-KOULUYHDISTY</t>
  </si>
  <si>
    <t>POHJOIS-HAAGAN YHTEISKOULU OY</t>
  </si>
  <si>
    <t>HELSINGIN RUDOLF STEINER -KOUL</t>
  </si>
  <si>
    <t>TÖÖLÖN YHTEISKOULU OSAKEYHTIÖ</t>
  </si>
  <si>
    <t>HELSINGIN JUUTALAINEN SEURAKUN</t>
  </si>
  <si>
    <t>NUORTEN YSTÄVÄT RY</t>
  </si>
  <si>
    <t>PERHEKUNTOUTUSKESKUS LAUSTE RY</t>
  </si>
  <si>
    <t>SYLVIA-KOTI YHDISTYS RY</t>
  </si>
  <si>
    <t>HOITOPEDAGOGISEN RUDOLF STEINE</t>
  </si>
  <si>
    <t>HELSINGIN KANSAINVÄLISEN KOULU</t>
  </si>
  <si>
    <t>ELIAS-KOULUN KOULUYHDISTYS RY</t>
  </si>
  <si>
    <t>JYVÄSKYLÄN STEINERKOULUN KANNA</t>
  </si>
  <si>
    <t>VAPAAN KYLÄKOULUN KANNATUSYHDI</t>
  </si>
  <si>
    <t>RUDOLF STEINERPEDAGOGIKENS VÄN</t>
  </si>
  <si>
    <t>OULUN STEINERKOULUN KANNATUSYH</t>
  </si>
  <si>
    <t>PORIN SEUDUN STEINERKOULUYHDIS</t>
  </si>
  <si>
    <t>ETELÄ-POHJANMAAN STEINERKOULUY</t>
  </si>
  <si>
    <t>TURUN SEUDUN STEINERKOULUYHDIS</t>
  </si>
  <si>
    <t>VANTAAN SEUDUN STEINERKOULUN K</t>
  </si>
  <si>
    <t>VAASAN STEINERPEDAGOGIIKAN KAN</t>
  </si>
  <si>
    <t>SUOMEN ADVENTTIKIRKKO</t>
  </si>
  <si>
    <t>LAPPEENRANNAN SEUDUN STEINERKO</t>
  </si>
  <si>
    <t>ESPOON STEINERKOULUN KANNATUSY</t>
  </si>
  <si>
    <t>HELSINGIN KRISTILLISEN KOULUN</t>
  </si>
  <si>
    <t>ITÄ-SUOMEN SUOMALAIS-VENÄLÄISE</t>
  </si>
  <si>
    <t>JOONAS-KOULUN ORIVEDEN STEINER</t>
  </si>
  <si>
    <t>PORIN KRISTILLISEN KOULUN KANN</t>
  </si>
  <si>
    <t>RAUMAN AVOKAS RY</t>
  </si>
  <si>
    <t>KESKI-UUDENMAAN KR. KOULUN JA</t>
  </si>
  <si>
    <t>KUOPION KRISTILLISEN PÄIVÄKODI</t>
  </si>
  <si>
    <t>ESPOON KRISTILLISEN KOULUN KAN</t>
  </si>
  <si>
    <t>JYVÄSKYLÄN KRISTILLISEN KOULUN</t>
  </si>
  <si>
    <t>CONFIDO-POHJANMAAN KRISTILLINE</t>
  </si>
  <si>
    <t>KYMENLAAKSON STEINERKOULUN KAN</t>
  </si>
  <si>
    <t>LAHDEN KRISTILLISEN KOULUN KAN</t>
  </si>
  <si>
    <t>OULUN KRISTILLINEN KASVATUS RY</t>
  </si>
  <si>
    <t>JOENSUUN STEINERKOULUN KANNATU</t>
  </si>
  <si>
    <t>PORVOON STEINERKOULUN KANNATUS</t>
  </si>
  <si>
    <t>ROVANIEMEN SEUDUN KRISTILLISEN</t>
  </si>
  <si>
    <t>HELSINGIN MONTESSORI-YHDISTYS</t>
  </si>
  <si>
    <t>OULUN REGGIO EMILIA KANNATUSYH</t>
  </si>
  <si>
    <t>HELSINGIN RANSKALAIS-SUOMALAIN</t>
  </si>
  <si>
    <t>SUOMALAIS-VENÄLÄINEN KOULU</t>
  </si>
  <si>
    <t>VALTION KOULUKODIT</t>
  </si>
  <si>
    <t>HELSINGIN EUROOPPALAINEN KOULU</t>
  </si>
  <si>
    <t>VALTERI-KOULU</t>
  </si>
  <si>
    <t>ITÄ-SUOMEN YLIOPISTO</t>
  </si>
  <si>
    <t>VM/KAO</t>
  </si>
  <si>
    <t>Ikäryhmähinnat:</t>
  </si>
  <si>
    <t>Laskentatekijät:</t>
  </si>
  <si>
    <t>Ikä 6</t>
  </si>
  <si>
    <t>Koko maa</t>
  </si>
  <si>
    <t>Saaristo</t>
  </si>
  <si>
    <t>Hinnat:</t>
  </si>
  <si>
    <t>Syrjäisyys</t>
  </si>
  <si>
    <t>Yhteensä</t>
  </si>
  <si>
    <t>Tasausraja: 100 %</t>
  </si>
  <si>
    <t>Verotuloihin perustuva valtionosuuksien tasaus:</t>
  </si>
  <si>
    <t>Kaikki kunnat</t>
  </si>
  <si>
    <t xml:space="preserve">Alajärvi           </t>
  </si>
  <si>
    <t xml:space="preserve">Alavieska          </t>
  </si>
  <si>
    <t xml:space="preserve">Alavus             </t>
  </si>
  <si>
    <t xml:space="preserve">Asikkala           </t>
  </si>
  <si>
    <t xml:space="preserve">Askola             </t>
  </si>
  <si>
    <t xml:space="preserve">Aura               </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</si>
  <si>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</si>
  <si>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</si>
  <si>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</si>
  <si>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</si>
  <si>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</si>
  <si>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</si>
  <si>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</si>
  <si>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</si>
  <si>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</si>
  <si>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</si>
  <si>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</si>
  <si>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</si>
  <si>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</si>
  <si>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</si>
  <si>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</si>
  <si>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</si>
  <si>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</si>
  <si>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</si>
  <si>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Heinävesi          </t>
  </si>
  <si>
    <t xml:space="preserve">Helsinki           </t>
  </si>
  <si>
    <t xml:space="preserve">Vantaa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</si>
  <si>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</si>
  <si>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</si>
  <si>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</si>
  <si>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</si>
  <si>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</si>
  <si>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</si>
  <si>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</si>
  <si>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</si>
  <si>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Heinola            </t>
  </si>
  <si>
    <t xml:space="preserve">Ii                 </t>
  </si>
  <si>
    <t xml:space="preserve">Iisalmi            </t>
  </si>
  <si>
    <t xml:space="preserve">Iitti              </t>
  </si>
  <si>
    <t xml:space="preserve">Ikaalinen          </t>
  </si>
  <si>
    <t xml:space="preserve">Ilmajoki           </t>
  </si>
  <si>
    <t xml:space="preserve">Ilomantsi          </t>
  </si>
  <si>
    <t xml:space="preserve">Inari              </t>
  </si>
  <si>
    <t xml:space="preserve">Inkoo              </t>
  </si>
  <si>
    <t xml:space="preserve">Isojoki            </t>
  </si>
  <si>
    <t xml:space="preserve">Isokyrö            </t>
  </si>
  <si>
    <t xml:space="preserve">Imatra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</si>
  <si>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</si>
  <si>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</si>
  <si>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</si>
  <si>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</si>
  <si>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</si>
  <si>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</si>
  <si>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</si>
  <si>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</si>
  <si>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</si>
  <si>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</si>
  <si>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</si>
  <si>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</si>
  <si>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</si>
  <si>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</si>
  <si>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</si>
  <si>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</si>
  <si>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</si>
  <si>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</si>
  <si>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</si>
  <si>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</si>
  <si>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</si>
  <si>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</si>
  <si>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</si>
  <si>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</si>
  <si>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</si>
  <si>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</si>
  <si>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</si>
  <si>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</si>
  <si>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</si>
  <si>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</si>
  <si>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</si>
  <si>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Keminmaa           </t>
  </si>
  <si>
    <t xml:space="preserve">Kempele            </t>
  </si>
  <si>
    <t xml:space="preserve">Kerava             </t>
  </si>
  <si>
    <t xml:space="preserve">Keuruu             </t>
  </si>
  <si>
    <t xml:space="preserve">Kihniö             </t>
  </si>
  <si>
    <t xml:space="preserve">Kinnula            </t>
  </si>
  <si>
    <t xml:space="preserve">Kirkkonummi        </t>
  </si>
  <si>
    <t xml:space="preserve">Kitee              </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</si>
  <si>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</si>
  <si>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</si>
  <si>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</si>
  <si>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</si>
  <si>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</si>
  <si>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</si>
  <si>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</si>
  <si>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</si>
  <si>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</si>
  <si>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</si>
  <si>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</si>
  <si>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</si>
  <si>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</si>
  <si>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</si>
  <si>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</si>
  <si>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</si>
  <si>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 xml:space="preserve">Kuopio             </t>
  </si>
  <si>
    <t xml:space="preserve">Kuortane           </t>
  </si>
  <si>
    <t xml:space="preserve">Kurikka            </t>
  </si>
  <si>
    <t xml:space="preserve">Kustavi            </t>
  </si>
  <si>
    <t xml:space="preserve">Kuusamo            </t>
  </si>
  <si>
    <t xml:space="preserve">Outokumpu          </t>
  </si>
  <si>
    <t xml:space="preserve">Kyyjärvi           </t>
  </si>
  <si>
    <t xml:space="preserve">Kärkölä            </t>
  </si>
  <si>
    <t xml:space="preserve">Kärsämäki          </t>
  </si>
  <si>
    <t xml:space="preserve">Kemijärvi          </t>
  </si>
  <si>
    <t xml:space="preserve">Lahti              </t>
  </si>
  <si>
    <t xml:space="preserve">Laihia             </t>
  </si>
  <si>
    <t xml:space="preserve">Laitila            </t>
  </si>
  <si>
    <t xml:space="preserve">Lapinlahti         </t>
  </si>
  <si>
    <t xml:space="preserve">Lappajärvi         </t>
  </si>
  <si>
    <t xml:space="preserve">Lappeenranta       </t>
  </si>
  <si>
    <t xml:space="preserve">Lapinjärvi         </t>
  </si>
  <si>
    <t xml:space="preserve">Lapua              </t>
  </si>
  <si>
    <t xml:space="preserve">Laukaa             </t>
  </si>
  <si>
    <t xml:space="preserve">Lemi               </t>
  </si>
  <si>
    <t xml:space="preserve">Lempäälä           </t>
  </si>
  <si>
    <t xml:space="preserve">Leppävirta         </t>
  </si>
  <si>
    <t xml:space="preserve">Lestijärvi         </t>
  </si>
  <si>
    <t xml:space="preserve">Lieksa             </t>
  </si>
  <si>
    <t xml:space="preserve">Lieto              </t>
  </si>
  <si>
    <t xml:space="preserve">Liminka            </t>
  </si>
  <si>
    <t xml:space="preserve">Liperi             </t>
  </si>
  <si>
    <t xml:space="preserve">Loimaa             </t>
  </si>
  <si>
    <t xml:space="preserve">Loppi              </t>
  </si>
  <si>
    <t xml:space="preserve">Loviisa            </t>
  </si>
  <si>
    <t xml:space="preserve">Luhanka            </t>
  </si>
  <si>
    <t xml:space="preserve">Lumijoki           </t>
  </si>
  <si>
    <t xml:space="preserve">Luoto              </t>
  </si>
  <si>
    <t xml:space="preserve">Luumäki            </t>
  </si>
  <si>
    <t xml:space="preserve">Lohja              </t>
  </si>
  <si>
    <t xml:space="preserve">Maalahti           </t>
  </si>
  <si>
    <t xml:space="preserve">Marttila           </t>
  </si>
  <si>
    <t xml:space="preserve">Masku              </t>
  </si>
  <si>
    <t xml:space="preserve">Merijärvi          </t>
  </si>
  <si>
    <t xml:space="preserve">Merikarvia         </t>
  </si>
  <si>
    <t xml:space="preserve">Miehikkälä         </t>
  </si>
  <si>
    <t xml:space="preserve">Mikkeli            </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</si>
  <si>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</si>
  <si>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</si>
  <si>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</si>
  <si>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</si>
  <si>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</si>
  <si>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</si>
  <si>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</si>
  <si>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</si>
  <si>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Mäntyharju         </t>
  </si>
  <si>
    <t xml:space="preserve">Mänttä-Vilppula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</si>
  <si>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</si>
  <si>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</si>
  <si>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</si>
  <si>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</si>
  <si>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</si>
  <si>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</si>
  <si>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</si>
  <si>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</si>
  <si>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</si>
  <si>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</si>
  <si>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 xml:space="preserve">Oulainen           </t>
  </si>
  <si>
    <t xml:space="preserve">Oulu               </t>
  </si>
  <si>
    <t xml:space="preserve">Padasjoki          </t>
  </si>
  <si>
    <t xml:space="preserve">Paimio             </t>
  </si>
  <si>
    <t xml:space="preserve">Paltamo            </t>
  </si>
  <si>
    <t xml:space="preserve">Parikkala          </t>
  </si>
  <si>
    <t xml:space="preserve">Parkano            </t>
  </si>
  <si>
    <t xml:space="preserve">Pelkosenniemi      </t>
  </si>
  <si>
    <t xml:space="preserve">Perho              </t>
  </si>
  <si>
    <t xml:space="preserve">Pertunmaa          </t>
  </si>
  <si>
    <t xml:space="preserve">Petäjävesi         </t>
  </si>
  <si>
    <t xml:space="preserve">Pieksämäki         </t>
  </si>
  <si>
    <t xml:space="preserve">Pielavesi          </t>
  </si>
  <si>
    <t xml:space="preserve">Pietarsaari        </t>
  </si>
  <si>
    <t>Pedersören kunta</t>
  </si>
  <si>
    <t xml:space="preserve">Pihtipudas         </t>
  </si>
  <si>
    <t xml:space="preserve">Pirkkala           </t>
  </si>
  <si>
    <t xml:space="preserve">Polvijärvi         </t>
  </si>
  <si>
    <t xml:space="preserve">Pomarkku           </t>
  </si>
  <si>
    <t xml:space="preserve">Pori               </t>
  </si>
  <si>
    <t xml:space="preserve">Pornainen          </t>
  </si>
  <si>
    <t xml:space="preserve">Posio              </t>
  </si>
  <si>
    <t xml:space="preserve">Pudasjärvi         </t>
  </si>
  <si>
    <t xml:space="preserve">Pukkila            </t>
  </si>
  <si>
    <t xml:space="preserve">Punkalaidun        </t>
  </si>
  <si>
    <t xml:space="preserve">Puolanka           </t>
  </si>
  <si>
    <t xml:space="preserve">Puumala            </t>
  </si>
  <si>
    <t xml:space="preserve">Pyhäjoki           </t>
  </si>
  <si>
    <t xml:space="preserve">Pyhäntä            </t>
  </si>
  <si>
    <t xml:space="preserve">Pyhäranta          </t>
  </si>
  <si>
    <t xml:space="preserve">Pälkäne            </t>
  </si>
  <si>
    <t xml:space="preserve">Pöytyä             </t>
  </si>
  <si>
    <t xml:space="preserve">Porvoo             </t>
  </si>
  <si>
    <t xml:space="preserve">Raahe              </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</si>
  <si>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</si>
  <si>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</si>
  <si>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</si>
  <si>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</si>
  <si>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</si>
  <si>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</si>
  <si>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</si>
  <si>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</si>
  <si>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</si>
  <si>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</si>
  <si>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</si>
  <si>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</si>
  <si>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</si>
  <si>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</si>
  <si>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</si>
  <si>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 xml:space="preserve">Saarijärvi         </t>
  </si>
  <si>
    <t xml:space="preserve">Salla              </t>
  </si>
  <si>
    <t xml:space="preserve">Salo               </t>
  </si>
  <si>
    <t xml:space="preserve">Sauvo              </t>
  </si>
  <si>
    <t xml:space="preserve">Savitaipale        </t>
  </si>
  <si>
    <t xml:space="preserve">Savonlinna         </t>
  </si>
  <si>
    <t xml:space="preserve">Savukoski          </t>
  </si>
  <si>
    <t xml:space="preserve">Seinäjoki          </t>
  </si>
  <si>
    <t xml:space="preserve">Sievi              </t>
  </si>
  <si>
    <t xml:space="preserve">Siikainen          </t>
  </si>
  <si>
    <t xml:space="preserve">Siikajoki          </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</si>
  <si>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</si>
  <si>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</si>
  <si>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</si>
  <si>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</si>
  <si>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</si>
  <si>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</si>
  <si>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</si>
  <si>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</si>
  <si>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</si>
  <si>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</si>
  <si>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</si>
  <si>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</si>
  <si>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</si>
  <si>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</si>
  <si>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</si>
  <si>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</si>
  <si>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</si>
  <si>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</si>
  <si>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</si>
  <si>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</si>
  <si>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</si>
  <si>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</si>
  <si>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</si>
  <si>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</si>
  <si>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</si>
  <si>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</si>
  <si>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</si>
  <si>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</si>
  <si>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Pello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</si>
  <si>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</si>
  <si>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</si>
  <si>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</si>
  <si>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</si>
  <si>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</si>
  <si>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</si>
  <si>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</si>
  <si>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</si>
  <si>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</si>
  <si>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</si>
  <si>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 xml:space="preserve">Vaasa              </t>
  </si>
  <si>
    <t xml:space="preserve">Valkeakoski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</si>
  <si>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</si>
  <si>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</si>
  <si>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</si>
  <si>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</si>
  <si>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</si>
  <si>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</si>
  <si>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</si>
  <si>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</si>
  <si>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</si>
  <si>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</si>
  <si>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</si>
  <si>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 xml:space="preserve">Ylitornio          </t>
  </si>
  <si>
    <t xml:space="preserve">Ylivieska          </t>
  </si>
  <si>
    <t xml:space="preserve">Ylöjärvi           </t>
  </si>
  <si>
    <t xml:space="preserve">Ypäjä              </t>
  </si>
  <si>
    <t xml:space="preserve">Ähtäri             </t>
  </si>
  <si>
    <t xml:space="preserve">Äänekoski          </t>
  </si>
  <si>
    <t>Ikärakenne:</t>
  </si>
  <si>
    <t>Työttömyysaste</t>
  </si>
  <si>
    <t>Vieraskielisyys</t>
  </si>
  <si>
    <t>Asukastiheys</t>
  </si>
  <si>
    <t>Saaristo-osakunta</t>
  </si>
  <si>
    <t>Koulutustausta</t>
  </si>
  <si>
    <t>Työpaikkaomavaraisuus</t>
  </si>
  <si>
    <t>Laskennalliset kustannukset, IKÄRAKENNE yhteensä, €</t>
  </si>
  <si>
    <t>Kunta-numero</t>
  </si>
  <si>
    <t>Laskennalliset kustannukset ikäryhmittäin, €:</t>
  </si>
  <si>
    <t>Ikä 0–5</t>
  </si>
  <si>
    <t>Ikä 7–12</t>
  </si>
  <si>
    <t>Ikä 13–15</t>
  </si>
  <si>
    <t>Työttömyyskerroin</t>
  </si>
  <si>
    <t>Kieliasema</t>
  </si>
  <si>
    <t>Kieliasema:</t>
  </si>
  <si>
    <t>0 = yksikielinen S</t>
  </si>
  <si>
    <t>1 = kaksikielinen S</t>
  </si>
  <si>
    <t xml:space="preserve">2 = yksikielinen  R </t>
  </si>
  <si>
    <t>3 = kaksikielinen R</t>
  </si>
  <si>
    <t>Asukastiheyskerroin (maks kerroin x20)</t>
  </si>
  <si>
    <t>Saaristoasema</t>
  </si>
  <si>
    <t>0 = ei</t>
  </si>
  <si>
    <t>1 = saaristo</t>
  </si>
  <si>
    <t>2 = saaristo, &gt; 50 % i.k.t.</t>
  </si>
  <si>
    <t>3 = saaristo-osakunta</t>
  </si>
  <si>
    <t>Saaristoasema:</t>
  </si>
  <si>
    <t>Laskennalliset kustannukset, €</t>
  </si>
  <si>
    <t>Kaksikielisyys I (koko väestö)</t>
  </si>
  <si>
    <t>Kaksikielisyys II, (ruotsink.)</t>
  </si>
  <si>
    <t>Muut lask. kustannukset yhteensä</t>
  </si>
  <si>
    <t>Saamenkielisen väestön osuus, %</t>
  </si>
  <si>
    <t>Saamen kotiseutu</t>
  </si>
  <si>
    <t>Saamen kotiseutu, 1 = kyllä 0 = ei</t>
  </si>
  <si>
    <t xml:space="preserve">Työpaikkaomavaraisuus </t>
  </si>
  <si>
    <t>Valtionosuus, €</t>
  </si>
  <si>
    <t>Kunnallisvero (maksuunpantu), €</t>
  </si>
  <si>
    <t>Verotettava tulo (kunnallisvero), €</t>
  </si>
  <si>
    <t>Laskennallinen verotulo yhteensä, €</t>
  </si>
  <si>
    <t>Laskennallinen verotulo yhteensä, €/asukas (=tasausraja)</t>
  </si>
  <si>
    <t>Tasaus,  €/asukas</t>
  </si>
  <si>
    <t>Tasaus, €</t>
  </si>
  <si>
    <t>Kuntien lkm:</t>
  </si>
  <si>
    <t>HELSINGIN YLIOPISTO</t>
  </si>
  <si>
    <t>JYVÄSKYLÄN YLIOPISTO</t>
  </si>
  <si>
    <t>OULUN YLIOPISTO</t>
  </si>
  <si>
    <t>TURUN YLIOPISTO</t>
  </si>
  <si>
    <t>ÅBO AKADEMI</t>
  </si>
  <si>
    <t>LAPIN YLIOPISTO</t>
  </si>
  <si>
    <t>Maksettava yhteisövero, €</t>
  </si>
  <si>
    <t>Laskennallinen kunnallisvero, €</t>
  </si>
  <si>
    <t xml:space="preserve">Kunnan  peruspalvelujen valtionosuus </t>
  </si>
  <si>
    <t>MUNKKINIEMEN KOULUTUSSÄÄTIÖ SR</t>
  </si>
  <si>
    <t>TAMPEREEN KORKEAKOULUSÄÄTIÖ SR</t>
  </si>
  <si>
    <t>Veroperustemuutoksista johtuvien veromenetysten korvaus</t>
  </si>
  <si>
    <t xml:space="preserve">Muut laskennalliset kustannukset </t>
  </si>
  <si>
    <t>16 vuotta täyttäneet</t>
  </si>
  <si>
    <t>0–5-vuotiaat</t>
  </si>
  <si>
    <t>6 vuotiaat</t>
  </si>
  <si>
    <t>7–12-vuotiaat</t>
  </si>
  <si>
    <t>13–15-vuotiaat</t>
  </si>
  <si>
    <t>Ikä 16+</t>
  </si>
  <si>
    <t>Syrjäisyysluku (tiestö) 2022-2026</t>
  </si>
  <si>
    <t>HYTE-kerroin</t>
  </si>
  <si>
    <t>Väestön kasvu</t>
  </si>
  <si>
    <t xml:space="preserve">HYTE-kerroin </t>
  </si>
  <si>
    <t>Sote-uudistuksen muutosrajoitin</t>
  </si>
  <si>
    <t>Väestöllä painotettu HYTE-kerroin</t>
  </si>
  <si>
    <t xml:space="preserve">Lisätietoja: </t>
  </si>
  <si>
    <t>Unna Heimberg, finanssiasiantuntija</t>
  </si>
  <si>
    <t>02 9553 0280 / etunimi.sukunimi@gov.fi</t>
  </si>
  <si>
    <t xml:space="preserve">Koulutustausta, ilman tutkintoa osuus </t>
  </si>
  <si>
    <t>HYTE-kerroin (sis. Kulttuurihyte)</t>
  </si>
  <si>
    <t>Kumulatiivinen verotuloihin perustuvan tasauksen muutoksen neutralisointi</t>
  </si>
  <si>
    <t>LAHDEN YHTEISKOULUN SÄÄTIÖ SR</t>
  </si>
  <si>
    <t>ROVANIEMEN STEINERKASVATUS RY</t>
  </si>
  <si>
    <t>Lauri Piirainen, finanssiasiantuntija</t>
  </si>
  <si>
    <t>02 9553 0521 / etunimi.sukunimi@gov.fi</t>
  </si>
  <si>
    <t>Laskennallinen kiinteistövero, €</t>
  </si>
  <si>
    <t>Tasauslisä-%:</t>
  </si>
  <si>
    <t>Tasausvähennys-%:</t>
  </si>
  <si>
    <t>Hyte-kertoimen väestöpainotus</t>
  </si>
  <si>
    <t>VM maksatus (valtionosuus + verokomp. + kotikuntakorv.)</t>
  </si>
  <si>
    <t>Kunnan rahoitusosuus perustoimeentulotuesta</t>
  </si>
  <si>
    <t>Lisäykset ja vähennykset yhteensä, €</t>
  </si>
  <si>
    <t>Valtionosuudet ja veromenetysten korvaukset, yhteensä</t>
  </si>
  <si>
    <t xml:space="preserve">Koulutustausta-kerroin </t>
  </si>
  <si>
    <t>Työvoima 2022</t>
  </si>
  <si>
    <t>Veromenetysten korvaus 2024</t>
  </si>
  <si>
    <t>Valtiovarainministeriö, Kunta- ja alueosasto</t>
  </si>
  <si>
    <t>Kuopion steinerkouluyhdistys r</t>
  </si>
  <si>
    <t>LAUTTASAAREN YHTEISKOULU SÄÄTIÖ</t>
  </si>
  <si>
    <t>OULUNKYLÄN YHTEISKOULUN SÄÄTIÖ</t>
  </si>
  <si>
    <t>SATEENKAAREN KOULUN KUNTAYHTYM</t>
  </si>
  <si>
    <t>Kuntien yhdistymisavustus (-0,99 €/as)</t>
  </si>
  <si>
    <t>Kriisikuntien harkinnanvarainen yhdistymisavustus (-0,99 €/as)</t>
  </si>
  <si>
    <t>Aloittavien koulujen rahoitukseen liittyvä vähennys (-0,01 €/as)</t>
  </si>
  <si>
    <t>Valtionosuus ennen verotuloihin perustuvaa valtionosuuden tasausta</t>
  </si>
  <si>
    <t>Verotuloihin perustuva valtionosuuden tasaus</t>
  </si>
  <si>
    <t>90000231</t>
  </si>
  <si>
    <t>90000281</t>
  </si>
  <si>
    <t>90000381</t>
  </si>
  <si>
    <t>90000691</t>
  </si>
  <si>
    <t>90000851</t>
  </si>
  <si>
    <t>90000901</t>
  </si>
  <si>
    <t>90001171</t>
  </si>
  <si>
    <t>90001361</t>
  </si>
  <si>
    <t>90001481</t>
  </si>
  <si>
    <t>90001791</t>
  </si>
  <si>
    <t>90001801</t>
  </si>
  <si>
    <t>90002401</t>
  </si>
  <si>
    <t>90003031</t>
  </si>
  <si>
    <t>90003941</t>
  </si>
  <si>
    <t>90004041</t>
  </si>
  <si>
    <t>90004951</t>
  </si>
  <si>
    <t>90004961</t>
  </si>
  <si>
    <t>90006471</t>
  </si>
  <si>
    <t>90007291</t>
  </si>
  <si>
    <t>90008441</t>
  </si>
  <si>
    <t>90031161</t>
  </si>
  <si>
    <t>90032731</t>
  </si>
  <si>
    <t>90033141</t>
  </si>
  <si>
    <t>90034021</t>
  </si>
  <si>
    <t>90034091</t>
  </si>
  <si>
    <t>90034101</t>
  </si>
  <si>
    <t>90035101</t>
  </si>
  <si>
    <t>90035401</t>
  </si>
  <si>
    <t>90035411</t>
  </si>
  <si>
    <t>90035421</t>
  </si>
  <si>
    <t>90035431</t>
  </si>
  <si>
    <t>90035441</t>
  </si>
  <si>
    <t>90035451</t>
  </si>
  <si>
    <t>90035461</t>
  </si>
  <si>
    <t>90035471</t>
  </si>
  <si>
    <t>90035481</t>
  </si>
  <si>
    <t>90035491</t>
  </si>
  <si>
    <t>90035501</t>
  </si>
  <si>
    <t>90035521</t>
  </si>
  <si>
    <t>90035531</t>
  </si>
  <si>
    <t>90035541</t>
  </si>
  <si>
    <t>90035551</t>
  </si>
  <si>
    <t>90036381</t>
  </si>
  <si>
    <t>90036811</t>
  </si>
  <si>
    <t>90037111</t>
  </si>
  <si>
    <t>90037151</t>
  </si>
  <si>
    <t>90037171</t>
  </si>
  <si>
    <t>90037181</t>
  </si>
  <si>
    <t>90037191</t>
  </si>
  <si>
    <t>90037251</t>
  </si>
  <si>
    <t>90037591</t>
  </si>
  <si>
    <t>90037841</t>
  </si>
  <si>
    <t>90037851</t>
  </si>
  <si>
    <t>90037861</t>
  </si>
  <si>
    <t>90037981</t>
  </si>
  <si>
    <t>90037991</t>
  </si>
  <si>
    <t>90038081</t>
  </si>
  <si>
    <t>90038581</t>
  </si>
  <si>
    <t>90038611</t>
  </si>
  <si>
    <t>90038691</t>
  </si>
  <si>
    <t>90053421</t>
  </si>
  <si>
    <t>90053431</t>
  </si>
  <si>
    <t>90000842</t>
  </si>
  <si>
    <t>90000872</t>
  </si>
  <si>
    <t>90037822</t>
  </si>
  <si>
    <t>90038382</t>
  </si>
  <si>
    <t>90053342</t>
  </si>
  <si>
    <t>90053456</t>
  </si>
  <si>
    <t>90000837</t>
  </si>
  <si>
    <t>90002047</t>
  </si>
  <si>
    <t>90005997</t>
  </si>
  <si>
    <t>90008177</t>
  </si>
  <si>
    <t>90008367</t>
  </si>
  <si>
    <t>90008987</t>
  </si>
  <si>
    <t>90038737</t>
  </si>
  <si>
    <t>90042287</t>
  </si>
  <si>
    <t>Erotus = tasausraja - laskennallinen verotulo, €/asukas</t>
  </si>
  <si>
    <t>Ennakollinen kunnan peruspalvelujen valtionosuuslaskelma vuodelle 2025</t>
  </si>
  <si>
    <t xml:space="preserve">Laskelma sisältää pävitetyt määräytymistekijät niiltä osin kun tietoja on käytettävissä. Väestörakenne- sekä työttömyystiedot on päivitetty, kuten myös hyte-kerroin. </t>
  </si>
  <si>
    <t>Laskelmassa ei ole huomioitu opetus- ja kuttuuritoimen valtionosuutta.</t>
  </si>
  <si>
    <t>Verotuloihin perustuva tasaus perustuu valtiovarainministeriön huhtikuussa tekemiin veroennusteisiin.</t>
  </si>
  <si>
    <t>Vuosien 2026-2028 valtionosuusennusteet löytyvät kuntakohtaisesta painelaskelmasta: vm.fi/kuntatalousohjelma.</t>
  </si>
  <si>
    <t>Kotikuntakorvauksista ei vielä ole käytettävissä uutta aineistoa. Tiedot päivittyvät syksyllä.</t>
  </si>
  <si>
    <t>TE-uudistuksen vaikutus valtionosuuteen vuonna 2025</t>
  </si>
  <si>
    <t>Ennakollinen kunnan peruspalvelujen valtionosuus vuonna 2025</t>
  </si>
  <si>
    <t>VM/KAO 29.4.2024</t>
  </si>
  <si>
    <t>Asukasmäärä 31.12.2023</t>
  </si>
  <si>
    <t>Tieto ei sisällä OKM:n valtionosuuksia</t>
  </si>
  <si>
    <t>Laskennalliset kustannukset 2025, IKÄRAKENNE 31.12.2023 mukaan</t>
  </si>
  <si>
    <t>18–64-vuotiaat</t>
  </si>
  <si>
    <t>Ikä 18-64</t>
  </si>
  <si>
    <t>Laskennalliset kustannukset 2025; MUUT KRITEERIT</t>
  </si>
  <si>
    <t>Työttömät työnhakijat 2023</t>
  </si>
  <si>
    <t>Työvoima 2023</t>
  </si>
  <si>
    <t>Keskim. työttömyysaste 2023, %</t>
  </si>
  <si>
    <t>Ruotsinkielisten määrä 31.12.2023</t>
  </si>
  <si>
    <t>Vieraskielisten määrä 31.12.2023</t>
  </si>
  <si>
    <r>
      <t>Saaristoväestö</t>
    </r>
    <r>
      <rPr>
        <sz val="11"/>
        <color rgb="FFFF0000"/>
        <rFont val="Arial"/>
        <family val="2"/>
      </rPr>
      <t xml:space="preserve"> 2022</t>
    </r>
  </si>
  <si>
    <t>30 - 54 v. väestö 31.12.2023</t>
  </si>
  <si>
    <r>
      <t>30 - 54 v. ilman tutkintoa 31.12.</t>
    </r>
    <r>
      <rPr>
        <sz val="11"/>
        <color rgb="FFFF0000"/>
        <rFont val="Arial"/>
        <family val="2"/>
      </rPr>
      <t>2022</t>
    </r>
  </si>
  <si>
    <t>Työttömät ja palveluissa olevat</t>
  </si>
  <si>
    <t>Perushinnat:</t>
  </si>
  <si>
    <t xml:space="preserve">Työttömät ja palveluissa olevat </t>
  </si>
  <si>
    <t>Maapinta-ala km2, 31.12.2023</t>
  </si>
  <si>
    <t>Asukastiehys 2023</t>
  </si>
  <si>
    <t>Työttömät ja palveluissa olevat 2023</t>
  </si>
  <si>
    <t>Saamenkielisen väestön määrä 31.12.2023</t>
  </si>
  <si>
    <t>Työpaikat 2022</t>
  </si>
  <si>
    <t>Työlliset 2022</t>
  </si>
  <si>
    <t>Työpaikkaomavaraisuus 2022</t>
  </si>
  <si>
    <t>Työpaikkaomavaraisuuskerroin</t>
  </si>
  <si>
    <t>Positiivinen väestön kasvu 2021-2023</t>
  </si>
  <si>
    <t>Lisäosat vuonna 2025</t>
  </si>
  <si>
    <t>Valtionosuuteen tehtävät vähennykset ja lisäykset v. 2025</t>
  </si>
  <si>
    <t>Harkinnanvaraisten avustusten vähennys (-1,79 €/as)</t>
  </si>
  <si>
    <t>Sote-uudistuksen järjestelmämuutoksen tasaus vuodelle 2025</t>
  </si>
  <si>
    <t>Määräaikaisen v 2024 tehdyn lisäyksen takaisinperintä (1/3)</t>
  </si>
  <si>
    <t>TE25: Kunnan työttömyysetuuksien rahoitusvastuun laajentamisen korvaus</t>
  </si>
  <si>
    <t>Veroennuste vuodelle 2023</t>
  </si>
  <si>
    <t>Keskimääräinen tuloveroprosentti: 7,37</t>
  </si>
  <si>
    <t>Tasausraja: 2143,96 euroa/as</t>
  </si>
  <si>
    <t>Verotulohin perustuva valtionosuuden tasaus 2025 (arvio)</t>
  </si>
  <si>
    <t>Asukasluku 31.12.2022</t>
  </si>
  <si>
    <t>Tuloveroprosentti 2023</t>
  </si>
  <si>
    <t>Veromuutosten (-menetysten) korvaus v. 2025</t>
  </si>
  <si>
    <t>Veromenetysten korvaus 2025</t>
  </si>
  <si>
    <t>Korvaukset vuosilta 2010-2023, €</t>
  </si>
  <si>
    <t>Veromenetysten korvaus 2010-2025 yhteensä, €</t>
  </si>
  <si>
    <t>STM/KELA</t>
  </si>
  <si>
    <t xml:space="preserve">Välilehdellä on kuvattu kuntien työttömyysturvan kustannusten nykytilaa sekä uudistuksen jälkeistä kustannusta. </t>
  </si>
  <si>
    <t>Kunta nro</t>
  </si>
  <si>
    <t>Asukasluku 2022</t>
  </si>
  <si>
    <t>Nykytila, kuntien osuus työmarkkinatuesta</t>
  </si>
  <si>
    <t>Uudistuksten mukainen osuus työmarkkinatuesta</t>
  </si>
  <si>
    <t>Uudistuksen mukainen osuus peruspäivärahasta</t>
  </si>
  <si>
    <t>Uudistuksen mukainen osuus ansiopäivärahasta</t>
  </si>
  <si>
    <t>Uudistuksen mukainen rahoitusvastuu yhteensä</t>
  </si>
  <si>
    <t>Manner-Suomi</t>
  </si>
  <si>
    <t>Nykytila perustuu kuntien osarahoittaman työmarkkinatuen tasoon vuonna 2023 (sarake D).</t>
  </si>
  <si>
    <t>Asukasluku 2023</t>
  </si>
  <si>
    <t>Muutos rahoitusvastuussa vuoden 2023 tasossa = korvaus</t>
  </si>
  <si>
    <t>Uudistus huomioiden rahoitusvastuu olisi vuoden 2023 tasossa noin 695 milj. euroa (sarake H).</t>
  </si>
  <si>
    <t xml:space="preserve">Uudistuksen myötä kuntien osuus työttömyysturvan rahoituksesta kasvaa noin 216 milj. euroa vuoden 2023 tasossa (sarake I). </t>
  </si>
  <si>
    <t>Uudistuksen kustannusarvio perustuu  työttömyysetuusjaksojen kertymään vuonna 2023.</t>
  </si>
  <si>
    <t>Kuntien laajeneva rahoitusosuus korvataan valtionosuuden lisäyksenä (ks. Välilehti Muut lis_väh).</t>
  </si>
  <si>
    <t>Arvio työvoimapalveluiden kustannuksista vuonna 2022</t>
  </si>
  <si>
    <t>TEM</t>
  </si>
  <si>
    <t>Työttömät 2022</t>
  </si>
  <si>
    <t>Etuuspäivät 2022</t>
  </si>
  <si>
    <t>Kotoutumiskoulutus, €</t>
  </si>
  <si>
    <t>Muiden kuin pakolaisten osuus kotoutumiskoulutuksista,  €</t>
  </si>
  <si>
    <t>Muu työvoimakoulutus, €</t>
  </si>
  <si>
    <t>Valmennukset, €</t>
  </si>
  <si>
    <t>Asiantuntija-arvionnit, €</t>
  </si>
  <si>
    <t>Palkkatuki, kunta €</t>
  </si>
  <si>
    <t>Starttiraha, €</t>
  </si>
  <si>
    <t>Palkkatuki, yksityinen, €</t>
  </si>
  <si>
    <t>Palvelut yhteensä, €</t>
  </si>
  <si>
    <t>Palvelut yhteensä per työtön</t>
  </si>
  <si>
    <t>Toimintamenot, arvio</t>
  </si>
  <si>
    <t>Toimintamenot per työtön</t>
  </si>
  <si>
    <t>Palvelut + toimintamenot</t>
  </si>
  <si>
    <t>Tiedot päivitetään loppukeväästä 2024 koskemaan vuoden 2023 kustannuksia.</t>
  </si>
  <si>
    <t>Palvelut + toimintamenot, skaalattu siirtyvän rahoituksen tasoon</t>
  </si>
  <si>
    <t>Perushinnat, €</t>
  </si>
  <si>
    <t xml:space="preserve"> </t>
  </si>
  <si>
    <t xml:space="preserve">  </t>
  </si>
  <si>
    <t xml:space="preserve">Määräytymistekijät </t>
  </si>
  <si>
    <t>Väestö, 18-64-vuotiaat</t>
  </si>
  <si>
    <t>Vieraskieliset</t>
  </si>
  <si>
    <t>Väestö, 18-64-vuotiaat (2023)</t>
  </si>
  <si>
    <t>Työttömät ja palveluissa olevat (2023)</t>
  </si>
  <si>
    <t>Vieraskieliset (2023)</t>
  </si>
  <si>
    <t xml:space="preserve">Vuoden 2025 valtionosuutta koskevat tiedot ovat yhä alustavia ja ne tulevat päivittymään valtion talousarvioesityksen valmistelun yhteydessä. </t>
  </si>
  <si>
    <t xml:space="preserve"> Vuonna 2025  rahoituksesta 50 % määräytyy kustannusten mukaan (ks välilehti Muut lis_väh)</t>
  </si>
  <si>
    <t>Arviota käytetään siirtymäajan rahoituksen laskennassa vuosina 2025 ja 2026.</t>
  </si>
  <si>
    <t xml:space="preserve">Laskelman viimeisillä välilehdiltä löytyy tarkempaa tietoa TE-uudistuksen vaikutuksista peruspalveluiden valtionosuuteen vuonna 2025. </t>
  </si>
  <si>
    <t xml:space="preserve"> Vuonna 2025  rahoituksesta 50 % määräytyy kustannusten mukaan (ks seuraava välilehti)</t>
  </si>
  <si>
    <t>Siirtymäajan rahoitus (sisältyy välilehdelle Muut lis_väh):</t>
  </si>
  <si>
    <t xml:space="preserve">Vastaavasti laskennallisesta rahoituksesta vähennetään 50 %  </t>
  </si>
  <si>
    <t>Laskennallisen rahoituksen muodostuminen, €</t>
  </si>
  <si>
    <t xml:space="preserve">Tämä tiedosto sisältää ennakollisen kuntakohtaisen laskelman vuodelle 2025 myönnettävistä kuntien peruspalvelujen valtionosuuksista, kotikuntakorvauksista sekä veromenetysten korvauksista. </t>
  </si>
  <si>
    <t>Kotikuntakorvaus, netto (ei päivitetty)</t>
  </si>
  <si>
    <t>Jälkikäteistarkistuksesta johtuva valtionosuuden  lisäsiirtotarve vuodelta 2023, 500 milj. € (1/3)</t>
  </si>
  <si>
    <t>TE25: Uudistuksen rahoituksen siirtymäajan porrastus (50 % kustannusperusteinen / 50 % vos-kriteerit)</t>
  </si>
  <si>
    <t>Palveluiden rahoitus siirtymäajan rahoitus huomioiden vuonna 2025</t>
  </si>
  <si>
    <t>Siirtymäajan rahoituksen vaikutus nettona (ks välilehti Muut lis_väh)</t>
  </si>
  <si>
    <r>
      <t>Peruspalvelujen valtionosuuden indeksikorotus vuodelle 2025 on arviolta 3,1 prosenttia ja siitä aiheutuva valtionosuuden lisäy</t>
    </r>
    <r>
      <rPr>
        <sz val="11"/>
        <rFont val="Arial"/>
        <family val="2"/>
        <scheme val="minor"/>
      </rPr>
      <t>s n. 75 miljoonaa euroa</t>
    </r>
    <r>
      <rPr>
        <sz val="11"/>
        <color theme="1"/>
        <rFont val="Arial"/>
        <family val="2"/>
        <scheme val="minor"/>
      </rPr>
      <t xml:space="preserve">. Hallitusohjelman mukaisesti peruspalvelujen valtionosuuden indeksikorotukseen tehdään yhtä prosenttiyksikköä vastaava vähennys vuosina 2024—2027. Vuonna 2025 vähennys pienentää valtionosuutta </t>
    </r>
    <r>
      <rPr>
        <sz val="11"/>
        <rFont val="Arial"/>
        <family val="2"/>
        <scheme val="minor"/>
      </rPr>
      <t>n. 24 miljoonaa euroa.</t>
    </r>
  </si>
  <si>
    <t xml:space="preserve">Valtionosuutta kasvattaa ennen kaikkea vuonna 2025 voimaantuleva TE-uudistus. Kevään 2024 julkisen talouden suunnitelmassa valtiolta kunnille siirtyvien TE-palveluiden rahoitus on noin 658 milj. euroa. Tämän lisäksi valtionosuuksien kautta kunnille korvataan työttömyysetuuk-sien laajeneva rahoitusvastuu. Korvaus lisää kuntien valtionosuutta 216 milj. eurolla vuodesta 2025 alkaen. Vuodesta 2025 voimaantulevat TE-palveluihin liittyvät tehtävä- ja rahoitusmuutokset pienentävät kuntien kustannuksia ja valtionosuusrahoitusta nettomääräisesti noin 51 milj. euroa. TE-palveluihin liittyvät tehtävämuutokset on kohdennettu työikäsen väestön vos-kriteerillä. </t>
  </si>
  <si>
    <t>Lisäksi laskelma sisältää kevään 2024 julkisen talouden suunnitelmaan sisältyvät toimenpiteet. Valtionosuuden tasoa korotetaan pysyvästi vuodesta 2025 alkaen 277 milj. eurolla. Lisäyksellä lievennetään viime vuoden lopulla tehdystä sote-siirtolaskelman päivityksestä aiheutuneita vaikutuksia. 277 milj. euron lisäys on huomioitu valtionosuusprosentissa. Sote-siirtolaskelman mukainen valtionosuuden pysyvä 500 milj. euron vähennys on myös nyt huomioitu valtionosuusprosentissa (aikaisemmin osa valtionosuuden muita lisäyksiä ja vähennyksiä).</t>
  </si>
  <si>
    <r>
      <t xml:space="preserve">Ennakkotietojen perusteella kuntien peruspalvelujen valtionosuusprosentti on </t>
    </r>
    <r>
      <rPr>
        <sz val="11"/>
        <rFont val="Arial"/>
        <family val="2"/>
        <scheme val="minor"/>
      </rPr>
      <t xml:space="preserve">24,58 prosenttia vuonna 2025. </t>
    </r>
    <r>
      <rPr>
        <sz val="11"/>
        <color theme="1"/>
        <rFont val="Arial"/>
        <family val="2"/>
        <scheme val="minor"/>
      </rPr>
      <t>Valtionosuusprosentissa on otettu huomioon lisäyksenä 4,57</t>
    </r>
    <r>
      <rPr>
        <sz val="11"/>
        <color rgb="FFFF0000"/>
        <rFont val="Arial"/>
        <family val="2"/>
        <scheme val="minor"/>
      </rPr>
      <t xml:space="preserve"> </t>
    </r>
    <r>
      <rPr>
        <sz val="11"/>
        <color theme="1"/>
        <rFont val="Arial"/>
        <family val="2"/>
        <scheme val="minor"/>
      </rPr>
      <t>prosenttiyksikköä liittyen uusien ja laajenevien tehtävien toteuttamiseen siten, että valtionosuus on 100 %. Merkittävin tehtävämuutos on kunnille vuoden 2025 alusta siirtyvät työvoimapalvelut.</t>
    </r>
    <r>
      <rPr>
        <sz val="11"/>
        <rFont val="Arial"/>
        <family val="2"/>
        <scheme val="minor"/>
      </rPr>
      <t xml:space="preserve"> Valtionosuusprosenttiin viedyt pysyvät lisäykset ja vähennykset (ml. yllämainitut) pienentävät valtionosuusprosenttia nettona 2,6 yksiköllä</t>
    </r>
    <r>
      <rPr>
        <sz val="11"/>
        <color theme="1"/>
        <rFont val="Arial"/>
        <family val="2"/>
        <scheme val="minor"/>
      </rPr>
      <t xml:space="preserve">. </t>
    </r>
  </si>
  <si>
    <t>Arviota työvoimapalveluiden kustannuksista ei ole päivitetty, vaan tiedot sisältyvät laskelmaan vuoden 2022 mukaisina. Tiedot päivitetään ja julkaistaan loppukeväästä 2024 koskemaan vuoden 2023 kustannuksia.</t>
  </si>
  <si>
    <t>Vuonna 2025 voimaantulevien tehtävämuutosten vaikutus rahoitukseen (alustava)</t>
  </si>
  <si>
    <t>TE-palvelut, valtiolta kunnille siirtyvien tehtävien rahoitus</t>
  </si>
  <si>
    <t>Tehtävämuutokset huomioiden TE-palveluihin myönnettävä rahoitus on vuonna 2025 noin 607 milj. €.</t>
  </si>
  <si>
    <t>Valtiolta kunnille siirtyvien TE-palveluiden rahoitus on noin 658 milj. euroa.</t>
  </si>
  <si>
    <t>Tällä välilehdellä on omassa sarakkeessaan (sarake Q) huomioitu erikseen TE-palveluihin liittyvät tehtävämuutokset, jotka vähentävät kuntien kustannuksia ja sitä myötä valtionosuuksia noin 51 milj. € vuonna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</si>
</sst>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00\ _€_-;\-* #,##0.00\ _€_-;_-* &quot;-&quot;??\ _€_-;_-@_-"/>
    <numFmt numFmtId="165" formatCode="#,##0.00000"/>
    <numFmt numFmtId="166" formatCode="#,##0_ ;[Red]\-#,##0\ "/>
    <numFmt numFmtId="167" formatCode="#,##0_ ;\-#,##0\ "/>
    <numFmt numFmtId="168" formatCode="0.0000"/>
    <numFmt numFmtId="169" formatCode="0.000"/>
    <numFmt numFmtId="170" formatCode="0.0\ %"/>
    <numFmt numFmtId="171" formatCode="0.00000"/>
    <numFmt numFmtId="172" formatCode="#,##0.00\ &quot;€&quot;"/>
    <numFmt numFmtId="173" formatCode="#,##0.000"/>
    <numFmt numFmtId="174" formatCode="#,##0.00_ ;[Red]\-#,##0.00\ "/>
    <numFmt numFmtId="175" formatCode="#,##0.000_ ;[Red]\-#,##0.000\ "/>
    <numFmt numFmtId="176" formatCode="0.0"/>
    <numFmt numFmtId="177" formatCode="#,##0.0"/>
    <numFmt numFmtId="178" formatCode="#,##0.0000"/>
    <numFmt numFmtId="179" formatCode="#,##0.0000_ ;[Red]\-#,##0.0000\ "/>
    <numFmt numFmtId="180" formatCode="000"/>
    <numFmt numFmtId="181" formatCode="_-* #,##0_-;\-* #,##0_-;_-* &quot;-&quot;??_-;_-@_-"/>
  </numFmts>
  <fonts count="59">
    <font>
      <sz val="11"/>
      <color theme="1"/>
      <name val="Arial"/>
      <family val="2"/>
      <scheme val="minor"/>
    </font>
    <font>
      <sz val="11"/>
      <color theme="1"/>
      <name val="Arial"/>
      <family val="2"/>
      <scheme val="minor"/>
    </font>
    <font>
      <b/>
      <sz val="11"/>
      <color theme="1"/>
      <name val="Arial"/>
      <family val="2"/>
      <scheme val="minor"/>
    </font>
    <font>
      <sz val="11"/>
      <color theme="1"/>
      <name val="Arial"/>
      <family val="2"/>
    </font>
    <font>
      <b/>
      <sz val="8"/>
      <name val="Arial"/>
      <family val="2"/>
    </font>
    <font>
      <sz val="8"/>
      <name val="Arial"/>
      <family val="2"/>
    </font>
    <font>
      <sz val="8"/>
      <color rgb="FFFF0000"/>
      <name val="Arial"/>
      <family val="2"/>
    </font>
    <font>
      <sz val="8"/>
      <color theme="1"/>
      <name val="Arial"/>
      <family val="2"/>
    </font>
    <font>
      <sz val="11"/>
      <name val="Arial"/>
      <family val="2"/>
    </font>
    <font>
      <b/>
      <sz val="11"/>
      <name val="Arial"/>
      <family val="2"/>
    </font>
    <font>
      <sz val="11"/>
      <color rgb="FFFF0000"/>
      <name val="Arial"/>
      <family val="2"/>
    </font>
    <font>
      <u/>
      <sz val="11"/>
      <name val="Arial"/>
      <family val="2"/>
    </font>
    <font>
      <b/>
      <sz val="11"/>
      <color theme="1"/>
      <name val="Arial"/>
      <family val="2"/>
    </font>
    <font>
      <b/>
      <sz val="8"/>
      <color theme="1"/>
      <name val="Arial"/>
      <family val="2"/>
    </font>
    <font>
      <sz val="11"/>
      <color indexed="8"/>
      <name val="Arial"/>
      <family val="2"/>
    </font>
    <font>
      <sz val="8"/>
      <color indexed="8"/>
      <name val="Arial"/>
      <family val="2"/>
    </font>
    <font>
      <b/>
      <sz val="8"/>
      <color indexed="8"/>
      <name val="Arial"/>
      <family val="2"/>
    </font>
    <font>
      <b/>
      <sz val="8"/>
      <color rgb="FFFF0000"/>
      <name val="Arial"/>
      <family val="2"/>
    </font>
    <font>
      <sz val="8"/>
      <color indexed="30"/>
      <name val="Arial"/>
      <family val="2"/>
    </font>
    <font>
      <i/>
      <sz val="8"/>
      <color theme="1"/>
      <name val="Arial"/>
      <family val="2"/>
    </font>
    <font>
      <u/>
      <sz val="9"/>
      <color theme="1"/>
      <name val="Arial"/>
      <family val="2"/>
    </font>
    <font>
      <sz val="8"/>
      <color theme="1"/>
      <name val="Arial"/>
      <family val="2"/>
      <scheme val="minor"/>
    </font>
    <font>
      <strike/>
      <sz val="8"/>
      <color theme="1"/>
      <name val="Arial"/>
      <family val="2"/>
    </font>
    <font>
      <u/>
      <sz val="8"/>
      <color theme="1"/>
      <name val="Arial"/>
      <family val="2"/>
    </font>
    <font>
      <strike/>
      <sz val="8"/>
      <color theme="1"/>
      <name val="Arial"/>
      <family val="2"/>
      <scheme val="minor"/>
    </font>
    <font>
      <sz val="9"/>
      <color theme="1"/>
      <name val="Arial"/>
      <family val="2"/>
      <scheme val="minor"/>
    </font>
    <font>
      <sz val="11"/>
      <name val="Arial"/>
      <family val="2"/>
      <scheme val="minor"/>
    </font>
    <font>
      <sz val="9"/>
      <color indexed="8"/>
      <name val="Verdana"/>
      <family val="2"/>
    </font>
    <font>
      <sz val="9"/>
      <name val="Arial"/>
      <family val="2"/>
    </font>
    <font>
      <b/>
      <u/>
      <sz val="11"/>
      <color rgb="FFFF0000"/>
      <name val="Arial"/>
      <family val="2"/>
    </font>
    <font>
      <b/>
      <sz val="11"/>
      <color rgb="FFFF0000"/>
      <name val="Arial"/>
      <family val="2"/>
    </font>
    <font>
      <i/>
      <sz val="11"/>
      <name val="Arial"/>
      <family val="2"/>
    </font>
    <font>
      <u/>
      <sz val="11"/>
      <color rgb="FFFF0000"/>
      <name val="Arial"/>
      <family val="2"/>
    </font>
    <font>
      <b/>
      <sz val="11"/>
      <color theme="0"/>
      <name val="Arial"/>
      <family val="2"/>
      <scheme val="minor"/>
    </font>
    <font>
      <sz val="11"/>
      <color theme="0"/>
      <name val="Arial"/>
      <family val="2"/>
      <scheme val="minor"/>
    </font>
    <font>
      <b/>
      <sz val="11"/>
      <color theme="0"/>
      <name val="Arial"/>
      <family val="2"/>
    </font>
    <font>
      <sz val="11"/>
      <color theme="0"/>
      <name val="Arial"/>
      <family val="2"/>
    </font>
    <font>
      <sz val="8"/>
      <color theme="0"/>
      <name val="Arial"/>
      <family val="2"/>
    </font>
    <font>
      <b/>
      <sz val="11"/>
      <color indexed="8"/>
      <name val="Arial"/>
      <family val="2"/>
    </font>
    <font>
      <b/>
      <u/>
      <sz val="11"/>
      <name val="Arial"/>
      <family val="2"/>
    </font>
    <font>
      <sz val="18"/>
      <color theme="3"/>
      <name val="Arial Narrow"/>
      <family val="2"/>
      <scheme val="major"/>
    </font>
    <font>
      <b/>
      <sz val="11"/>
      <name val="Arial"/>
      <family val="2"/>
    </font>
    <font>
      <sz val="11"/>
      <color rgb="FFFF0000"/>
      <name val="Arial"/>
      <family val="2"/>
      <scheme val="minor"/>
    </font>
    <font>
      <i/>
      <sz val="11"/>
      <color rgb="FFFF0000"/>
      <name val="Arial"/>
      <family val="2"/>
    </font>
    <font>
      <b/>
      <sz val="11"/>
      <color theme="1"/>
      <name val="Arial"/>
      <family val="2"/>
    </font>
    <font>
      <sz val="11"/>
      <color theme="1"/>
      <name val="Arial"/>
      <family val="2"/>
    </font>
    <font>
      <sz val="10"/>
      <name val="Arial"/>
      <family val="2"/>
    </font>
    <font>
      <sz val="10"/>
      <color theme="1"/>
      <name val="Roboto"/>
      <family val="2"/>
    </font>
    <font>
      <sz val="11"/>
      <color rgb="FF000000"/>
      <name val="Arial"/>
      <family val="2"/>
      <scheme val="minor"/>
    </font>
    <font>
      <b/>
      <sz val="11"/>
      <color theme="3"/>
      <name val="Arial"/>
      <family val="2"/>
      <scheme val="minor"/>
    </font>
    <font>
      <b/>
      <sz val="10"/>
      <color theme="1"/>
      <name val="Arial"/>
      <family val="2"/>
      <scheme val="minor"/>
    </font>
    <font>
      <b/>
      <sz val="10"/>
      <color theme="0"/>
      <name val="Arial"/>
      <family val="2"/>
      <scheme val="minor"/>
    </font>
    <font>
      <sz val="10"/>
      <color theme="1"/>
      <name val="Arial"/>
      <family val="2"/>
      <scheme val="minor"/>
    </font>
    <font>
      <b/>
      <sz val="10"/>
      <color theme="3"/>
      <name val="Arial"/>
      <family val="2"/>
      <scheme val="minor"/>
    </font>
    <font>
      <b/>
      <sz val="11"/>
      <color rgb="FF000000"/>
      <name val="Arial"/>
      <family val="2"/>
      <scheme val="minor"/>
    </font>
    <font>
      <b/>
      <sz val="10"/>
      <name val="Arial"/>
      <family val="2"/>
      <scheme val="minor"/>
    </font>
    <font>
      <sz val="10"/>
      <name val="Arial"/>
      <family val="2"/>
      <scheme val="minor"/>
    </font>
    <font>
      <sz val="9"/>
      <color indexed="81"/>
      <name val="Tahoma"/>
      <family val="2"/>
    </font>
    <font>
      <b/>
      <sz val="9"/>
      <color indexed="81"/>
      <name val="Tahoma"/>
      <family val="2"/>
    </font>
  </fonts>
  <fills count="17">
    <fill>
      <patternFill patternType="none"/>
    </fill>
    <fill>
      <patternFill patternType="gray125"/>
    </fill>
    <fill>
      <patternFill patternType="solid">
        <fgColor theme="8"/>
        <bgColor theme="8"/>
      </patternFill>
    </fill>
    <fill>
      <patternFill patternType="solid">
        <fgColor theme="6"/>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bgColor theme="4"/>
      </patternFill>
    </fill>
    <fill>
      <patternFill patternType="solid">
        <fgColor theme="7" tint="0.79998168889431442"/>
        <bgColor indexed="64"/>
      </patternFill>
    </fill>
    <fill>
      <patternFill patternType="solid">
        <fgColor theme="7" tint="0.39997558519241921"/>
        <bgColor indexed="64"/>
      </patternFill>
    </fill>
  </fills>
  <borders count="21">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theme="8"/>
      </left>
      <right/>
      <top style="thin">
        <color theme="8"/>
      </top>
      <bottom/>
      <diagonal/>
    </border>
    <border>
      <left/>
      <right/>
      <top style="thin">
        <color theme="8"/>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s>
  <cellStyleXfs count="11">
    <xf numFmtId="0" fontId="0" fillId="0" borderId="0"/>
    <xf numFmtId="164" fontId="1" fillId="0" borderId="0" applyFont="0" applyFill="0" applyBorder="0" applyAlignment="0" applyProtection="0"/>
    <xf numFmtId="0" fontId="4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6" fillId="0" borderId="0"/>
    <xf numFmtId="164" fontId="46" fillId="0" borderId="0" applyFont="0" applyFill="0" applyBorder="0" applyAlignment="0" applyProtection="0"/>
    <xf numFmtId="9" fontId="46" fillId="0" borderId="0" applyFont="0" applyFill="0" applyBorder="0" applyAlignment="0" applyProtection="0"/>
    <xf numFmtId="0" fontId="47" fillId="0" borderId="0"/>
    <xf numFmtId="0" fontId="49" fillId="0" borderId="15" applyNumberFormat="0" applyFill="0" applyAlignment="0" applyProtection="0"/>
    <xf numFmtId="0" fontId="49" fillId="0" borderId="0" applyNumberFormat="0" applyFill="0" applyBorder="0" applyAlignment="0" applyProtection="0"/>
  </cellStyleXfs>
  <cellXfs count="516">
    <xf numFmtId="0" fontId="0" fillId="0" borderId="0" xfId="0"/>
    <xf numFmtId="0" fontId="4" fillId="0" borderId="0" xfId="0" applyFont="1" applyBorder="1"/>
    <xf numFmtId="3" fontId="5" fillId="0" borderId="0" xfId="0" applyNumberFormat="1" applyFont="1" applyBorder="1" applyAlignment="1">
      <alignment horizontal="right"/>
    </xf>
    <xf numFmtId="3" fontId="6" fillId="0" borderId="0" xfId="0" applyNumberFormat="1" applyFont="1" applyFill="1" applyBorder="1" applyAlignment="1">
      <alignment horizontal="right"/>
    </xf>
    <xf numFmtId="3" fontId="6" fillId="0" borderId="0" xfId="0" applyNumberFormat="1" applyFont="1" applyBorder="1" applyAlignment="1">
      <alignment horizontal="right"/>
    </xf>
    <xf numFmtId="3" fontId="6" fillId="0" borderId="0" xfId="0" applyNumberFormat="1" applyFont="1" applyBorder="1"/>
    <xf numFmtId="165" fontId="5" fillId="0" borderId="0" xfId="0" applyNumberFormat="1" applyFont="1" applyBorder="1"/>
    <xf numFmtId="3" fontId="5" fillId="0" borderId="0" xfId="0" applyNumberFormat="1" applyFont="1" applyFill="1" applyBorder="1" applyAlignment="1">
      <alignment horizontal="right"/>
    </xf>
    <xf numFmtId="0" fontId="5" fillId="0" borderId="0" xfId="0" applyFont="1" applyBorder="1" applyAlignment="1">
      <alignment horizontal="right"/>
    </xf>
    <xf numFmtId="0" fontId="7" fillId="0" borderId="0" xfId="0" applyFont="1" applyBorder="1"/>
    <xf numFmtId="166" fontId="7" fillId="0" borderId="0" xfId="0" applyNumberFormat="1" applyFont="1"/>
    <xf numFmtId="0" fontId="7" fillId="0" borderId="0" xfId="0" applyFont="1"/>
    <xf numFmtId="0" fontId="8" fillId="0" borderId="0" xfId="0" applyFont="1" applyBorder="1"/>
    <xf numFmtId="0" fontId="9" fillId="0" borderId="0" xfId="0" applyFont="1" applyBorder="1"/>
    <xf numFmtId="3" fontId="8" fillId="0" borderId="0" xfId="0" applyNumberFormat="1" applyFont="1" applyBorder="1" applyAlignment="1">
      <alignment horizontal="right"/>
    </xf>
    <xf numFmtId="3" fontId="8" fillId="0" borderId="0" xfId="0" applyNumberFormat="1" applyFont="1" applyFill="1" applyBorder="1" applyAlignment="1">
      <alignment horizontal="right"/>
    </xf>
    <xf numFmtId="4" fontId="8" fillId="0" borderId="0" xfId="0" applyNumberFormat="1" applyFont="1" applyBorder="1" applyAlignment="1">
      <alignment horizontal="right"/>
    </xf>
    <xf numFmtId="3" fontId="8" fillId="0" borderId="0" xfId="0" applyNumberFormat="1" applyFont="1" applyBorder="1"/>
    <xf numFmtId="0" fontId="8" fillId="0" borderId="0" xfId="0" applyFont="1" applyBorder="1" applyAlignment="1">
      <alignment horizontal="right"/>
    </xf>
    <xf numFmtId="4" fontId="8" fillId="0" borderId="0" xfId="0" applyNumberFormat="1" applyFont="1" applyBorder="1" applyAlignment="1">
      <alignment horizontal="left"/>
    </xf>
    <xf numFmtId="3" fontId="8" fillId="0" borderId="0" xfId="0" applyNumberFormat="1" applyFont="1" applyBorder="1" applyAlignment="1">
      <alignment horizontal="left"/>
    </xf>
    <xf numFmtId="3" fontId="7" fillId="0" borderId="0" xfId="0" applyNumberFormat="1" applyFont="1"/>
    <xf numFmtId="0" fontId="9" fillId="0" borderId="2" xfId="0" applyFont="1" applyBorder="1"/>
    <xf numFmtId="0" fontId="3" fillId="0" borderId="0" xfId="0" applyFont="1"/>
    <xf numFmtId="3" fontId="10" fillId="0" borderId="0" xfId="0" applyNumberFormat="1" applyFont="1" applyFill="1" applyBorder="1" applyAlignment="1">
      <alignment horizontal="right"/>
    </xf>
    <xf numFmtId="3" fontId="7" fillId="0" borderId="0" xfId="0" applyNumberFormat="1" applyFont="1" applyBorder="1"/>
    <xf numFmtId="3" fontId="9" fillId="0" borderId="0" xfId="0" applyNumberFormat="1" applyFont="1" applyFill="1" applyBorder="1" applyAlignment="1">
      <alignment horizontal="right"/>
    </xf>
    <xf numFmtId="4" fontId="9" fillId="0" borderId="0" xfId="0" applyNumberFormat="1" applyFont="1" applyBorder="1" applyAlignment="1">
      <alignment horizontal="right"/>
    </xf>
    <xf numFmtId="3" fontId="9" fillId="0" borderId="0" xfId="0" applyNumberFormat="1" applyFont="1" applyBorder="1" applyAlignment="1">
      <alignment horizontal="right"/>
    </xf>
    <xf numFmtId="3" fontId="12" fillId="0" borderId="0" xfId="0" applyNumberFormat="1" applyFont="1" applyBorder="1"/>
    <xf numFmtId="0" fontId="13" fillId="0" borderId="0" xfId="0" applyFont="1"/>
    <xf numFmtId="0" fontId="2" fillId="0" borderId="0" xfId="0" applyFont="1"/>
    <xf numFmtId="3" fontId="14" fillId="0" borderId="0" xfId="0" applyNumberFormat="1" applyFont="1" applyFill="1" applyBorder="1" applyAlignment="1"/>
    <xf numFmtId="3" fontId="8" fillId="0" borderId="0" xfId="0" applyNumberFormat="1" applyFont="1" applyFill="1" applyBorder="1" applyAlignment="1" applyProtection="1">
      <alignment horizontal="right"/>
    </xf>
    <xf numFmtId="166" fontId="8" fillId="0" borderId="0" xfId="0" applyNumberFormat="1" applyFont="1" applyFill="1" applyBorder="1" applyAlignment="1">
      <alignment horizontal="right"/>
    </xf>
    <xf numFmtId="3" fontId="3" fillId="0" borderId="0" xfId="0" applyNumberFormat="1" applyFont="1" applyBorder="1"/>
    <xf numFmtId="0" fontId="9" fillId="0" borderId="0" xfId="0" applyFont="1" applyFill="1" applyBorder="1"/>
    <xf numFmtId="167" fontId="8" fillId="0" borderId="0" xfId="0" applyNumberFormat="1" applyFont="1" applyBorder="1" applyAlignment="1">
      <alignment horizontal="right"/>
    </xf>
    <xf numFmtId="3" fontId="9" fillId="0" borderId="0" xfId="0" applyNumberFormat="1" applyFont="1" applyFill="1" applyBorder="1"/>
    <xf numFmtId="167" fontId="8" fillId="0" borderId="0" xfId="0" applyNumberFormat="1" applyFont="1" applyFill="1" applyBorder="1" applyAlignment="1">
      <alignment horizontal="right"/>
    </xf>
    <xf numFmtId="4" fontId="8" fillId="0" borderId="0" xfId="0" applyNumberFormat="1" applyFont="1" applyFill="1" applyBorder="1" applyAlignment="1">
      <alignment horizontal="right"/>
    </xf>
    <xf numFmtId="3" fontId="8" fillId="0" borderId="0" xfId="0" applyNumberFormat="1" applyFont="1" applyFill="1" applyBorder="1"/>
    <xf numFmtId="0" fontId="8" fillId="0" borderId="0" xfId="0" applyFont="1" applyFill="1" applyBorder="1" applyAlignment="1">
      <alignment horizontal="right"/>
    </xf>
    <xf numFmtId="0" fontId="7" fillId="0" borderId="0" xfId="0" applyFont="1" applyFill="1" applyBorder="1"/>
    <xf numFmtId="0" fontId="7" fillId="0" borderId="0" xfId="0" applyFont="1" applyFill="1"/>
    <xf numFmtId="0" fontId="0" fillId="0" borderId="0" xfId="0" applyFill="1"/>
    <xf numFmtId="1" fontId="8" fillId="0" borderId="0" xfId="0" applyNumberFormat="1" applyFont="1" applyFill="1" applyBorder="1" applyAlignment="1">
      <alignment horizontal="right"/>
    </xf>
    <xf numFmtId="1" fontId="5" fillId="0" borderId="0" xfId="0" applyNumberFormat="1" applyFont="1" applyBorder="1"/>
    <xf numFmtId="3" fontId="4" fillId="0" borderId="0" xfId="0" applyNumberFormat="1" applyFont="1" applyBorder="1"/>
    <xf numFmtId="167" fontId="5" fillId="0" borderId="0" xfId="0" applyNumberFormat="1" applyFont="1" applyBorder="1" applyAlignment="1">
      <alignment horizontal="right"/>
    </xf>
    <xf numFmtId="4" fontId="5" fillId="0" borderId="0" xfId="0" applyNumberFormat="1" applyFont="1" applyBorder="1" applyAlignment="1">
      <alignment horizontal="right"/>
    </xf>
    <xf numFmtId="3" fontId="5" fillId="0" borderId="0" xfId="0" applyNumberFormat="1" applyFont="1" applyBorder="1"/>
    <xf numFmtId="1" fontId="15" fillId="0" borderId="0" xfId="0" applyNumberFormat="1" applyFont="1" applyFill="1" applyBorder="1" applyAlignment="1"/>
    <xf numFmtId="3" fontId="15" fillId="0" borderId="0" xfId="0" applyNumberFormat="1" applyFont="1" applyFill="1" applyBorder="1" applyAlignment="1"/>
    <xf numFmtId="0" fontId="4" fillId="0" borderId="0" xfId="0" applyFont="1" applyFill="1" applyBorder="1"/>
    <xf numFmtId="1" fontId="16" fillId="0" borderId="0" xfId="0" applyNumberFormat="1" applyFont="1" applyFill="1" applyBorder="1" applyAlignment="1"/>
    <xf numFmtId="0" fontId="17" fillId="0" borderId="0" xfId="0" applyFont="1" applyFill="1" applyBorder="1"/>
    <xf numFmtId="1" fontId="18" fillId="0" borderId="0" xfId="0" applyNumberFormat="1" applyFont="1" applyFill="1" applyBorder="1" applyAlignment="1"/>
    <xf numFmtId="0" fontId="5" fillId="0" borderId="0" xfId="0" applyFont="1" applyBorder="1"/>
    <xf numFmtId="0" fontId="13" fillId="0" borderId="0" xfId="0" applyFont="1" applyFill="1"/>
    <xf numFmtId="3" fontId="13" fillId="0" borderId="0" xfId="0" applyNumberFormat="1" applyFont="1" applyFill="1"/>
    <xf numFmtId="3" fontId="4" fillId="0" borderId="0" xfId="0" applyNumberFormat="1" applyFont="1" applyFill="1" applyBorder="1" applyAlignment="1" applyProtection="1">
      <alignment horizontal="right"/>
    </xf>
    <xf numFmtId="0" fontId="0" fillId="0" borderId="0" xfId="0" applyFill="1" applyBorder="1"/>
    <xf numFmtId="169" fontId="0" fillId="0" borderId="0" xfId="0" applyNumberFormat="1" applyFill="1" applyBorder="1"/>
    <xf numFmtId="170" fontId="13" fillId="0" borderId="0" xfId="0" applyNumberFormat="1" applyFont="1" applyFill="1" applyBorder="1"/>
    <xf numFmtId="170" fontId="2" fillId="0" borderId="0" xfId="0" applyNumberFormat="1" applyFont="1" applyFill="1" applyBorder="1"/>
    <xf numFmtId="0" fontId="5" fillId="0" borderId="0" xfId="0" applyFont="1" applyFill="1" applyBorder="1"/>
    <xf numFmtId="0" fontId="4" fillId="0" borderId="0" xfId="0" applyFont="1" applyFill="1" applyBorder="1" applyAlignment="1">
      <alignment horizontal="right"/>
    </xf>
    <xf numFmtId="3" fontId="7" fillId="0" borderId="0" xfId="0" applyNumberFormat="1" applyFont="1" applyFill="1" applyBorder="1"/>
    <xf numFmtId="0" fontId="7" fillId="0" borderId="0" xfId="0" applyFont="1" applyFill="1" applyBorder="1" applyAlignment="1">
      <alignment horizontal="right"/>
    </xf>
    <xf numFmtId="3" fontId="4" fillId="0" borderId="0" xfId="0" applyNumberFormat="1" applyFont="1" applyFill="1" applyBorder="1" applyAlignment="1">
      <alignment horizontal="right"/>
    </xf>
    <xf numFmtId="2" fontId="0" fillId="0" borderId="0" xfId="0" applyNumberFormat="1" applyFill="1" applyBorder="1"/>
    <xf numFmtId="4" fontId="7" fillId="0" borderId="0" xfId="0" applyNumberFormat="1" applyFont="1" applyFill="1" applyBorder="1"/>
    <xf numFmtId="173" fontId="7" fillId="0" borderId="0" xfId="0" applyNumberFormat="1" applyFont="1" applyFill="1" applyBorder="1"/>
    <xf numFmtId="173" fontId="0" fillId="0" borderId="0" xfId="0" applyNumberFormat="1" applyFill="1" applyBorder="1"/>
    <xf numFmtId="9" fontId="0" fillId="0" borderId="0" xfId="0" applyNumberFormat="1" applyFill="1" applyBorder="1"/>
    <xf numFmtId="3" fontId="13" fillId="0" borderId="0" xfId="0" applyNumberFormat="1" applyFont="1" applyFill="1" applyBorder="1"/>
    <xf numFmtId="166" fontId="7" fillId="0" borderId="0" xfId="0" applyNumberFormat="1" applyFont="1" applyFill="1" applyBorder="1"/>
    <xf numFmtId="0" fontId="6" fillId="0" borderId="0" xfId="0" applyFont="1" applyFill="1" applyBorder="1"/>
    <xf numFmtId="171" fontId="7" fillId="0" borderId="0" xfId="0" applyNumberFormat="1" applyFont="1" applyFill="1" applyBorder="1"/>
    <xf numFmtId="0" fontId="20" fillId="0" borderId="0" xfId="0" applyFont="1" applyFill="1" applyBorder="1"/>
    <xf numFmtId="166" fontId="4" fillId="0" borderId="0" xfId="0" applyNumberFormat="1" applyFont="1" applyFill="1" applyBorder="1" applyAlignment="1" applyProtection="1">
      <alignment horizontal="right"/>
    </xf>
    <xf numFmtId="0" fontId="21" fillId="0" borderId="0" xfId="0" applyFont="1" applyFill="1" applyBorder="1"/>
    <xf numFmtId="0" fontId="7" fillId="0" borderId="0" xfId="0" applyFont="1" applyFill="1" applyBorder="1" applyAlignment="1">
      <alignment horizontal="left"/>
    </xf>
    <xf numFmtId="166" fontId="17" fillId="0" borderId="0" xfId="0" applyNumberFormat="1" applyFont="1" applyFill="1" applyBorder="1"/>
    <xf numFmtId="171" fontId="21" fillId="0" borderId="0" xfId="0" applyNumberFormat="1" applyFont="1" applyFill="1" applyBorder="1"/>
    <xf numFmtId="0" fontId="22" fillId="0" borderId="0" xfId="0" applyFont="1" applyFill="1" applyBorder="1" applyAlignment="1">
      <alignment horizontal="left"/>
    </xf>
    <xf numFmtId="166" fontId="13" fillId="0" borderId="0" xfId="0" applyNumberFormat="1" applyFont="1" applyFill="1" applyBorder="1"/>
    <xf numFmtId="171" fontId="5" fillId="0" borderId="0" xfId="0" applyNumberFormat="1" applyFont="1" applyFill="1" applyBorder="1"/>
    <xf numFmtId="166" fontId="23" fillId="0" borderId="0" xfId="0" applyNumberFormat="1" applyFont="1" applyFill="1" applyBorder="1"/>
    <xf numFmtId="0" fontId="3" fillId="0" borderId="0" xfId="0" applyFont="1" applyFill="1" applyBorder="1"/>
    <xf numFmtId="166" fontId="19" fillId="0" borderId="0" xfId="0" applyNumberFormat="1" applyFont="1" applyFill="1" applyBorder="1"/>
    <xf numFmtId="171" fontId="24" fillId="0" borderId="0" xfId="0" applyNumberFormat="1" applyFont="1" applyFill="1" applyBorder="1"/>
    <xf numFmtId="171" fontId="22" fillId="0" borderId="0" xfId="0" applyNumberFormat="1" applyFont="1" applyFill="1" applyBorder="1"/>
    <xf numFmtId="0" fontId="24" fillId="0" borderId="0" xfId="0" applyFont="1" applyFill="1" applyBorder="1"/>
    <xf numFmtId="174" fontId="7" fillId="0" borderId="0" xfId="0" applyNumberFormat="1" applyFont="1" applyFill="1" applyBorder="1"/>
    <xf numFmtId="9" fontId="6" fillId="0" borderId="0" xfId="0" applyNumberFormat="1" applyFont="1" applyFill="1" applyBorder="1"/>
    <xf numFmtId="170" fontId="25" fillId="0" borderId="0" xfId="0" applyNumberFormat="1" applyFont="1" applyFill="1" applyBorder="1"/>
    <xf numFmtId="175" fontId="7" fillId="0" borderId="0" xfId="0" applyNumberFormat="1" applyFont="1" applyFill="1" applyBorder="1"/>
    <xf numFmtId="1" fontId="7" fillId="0" borderId="0" xfId="0" applyNumberFormat="1" applyFont="1" applyFill="1" applyBorder="1"/>
    <xf numFmtId="3" fontId="0" fillId="0" borderId="0" xfId="0" applyNumberFormat="1" applyFill="1" applyBorder="1"/>
    <xf numFmtId="168" fontId="5" fillId="0" borderId="0" xfId="0" applyNumberFormat="1" applyFont="1" applyFill="1" applyBorder="1" applyAlignment="1">
      <alignment horizontal="right"/>
    </xf>
    <xf numFmtId="0" fontId="26" fillId="0" borderId="0" xfId="0" applyFont="1" applyFill="1" applyBorder="1"/>
    <xf numFmtId="166" fontId="0" fillId="0" borderId="0" xfId="0" applyNumberFormat="1"/>
    <xf numFmtId="0" fontId="2" fillId="0" borderId="0" xfId="0" applyFont="1" applyFill="1"/>
    <xf numFmtId="1" fontId="0" fillId="0" borderId="0" xfId="0" applyNumberFormat="1" applyFill="1"/>
    <xf numFmtId="169" fontId="0" fillId="0" borderId="0" xfId="0" applyNumberFormat="1"/>
    <xf numFmtId="166" fontId="13" fillId="0" borderId="0" xfId="0" applyNumberFormat="1" applyFont="1"/>
    <xf numFmtId="177" fontId="7" fillId="0" borderId="0" xfId="0" applyNumberFormat="1" applyFont="1"/>
    <xf numFmtId="166" fontId="13" fillId="0" borderId="0" xfId="0" applyNumberFormat="1" applyFont="1" applyFill="1"/>
    <xf numFmtId="166" fontId="7" fillId="0" borderId="0" xfId="0" applyNumberFormat="1" applyFont="1" applyFill="1"/>
    <xf numFmtId="177" fontId="7" fillId="0" borderId="0" xfId="0" applyNumberFormat="1" applyFont="1" applyFill="1"/>
    <xf numFmtId="3" fontId="7" fillId="0" borderId="0" xfId="0" applyNumberFormat="1" applyFont="1" applyFill="1"/>
    <xf numFmtId="166" fontId="4" fillId="0" borderId="0" xfId="0" applyNumberFormat="1" applyFont="1" applyFill="1" applyBorder="1"/>
    <xf numFmtId="3" fontId="13" fillId="0" borderId="0" xfId="0" applyNumberFormat="1" applyFont="1"/>
    <xf numFmtId="3" fontId="0" fillId="0" borderId="0" xfId="0" applyNumberFormat="1"/>
    <xf numFmtId="180" fontId="27" fillId="0" borderId="0" xfId="0" applyNumberFormat="1" applyFont="1" applyBorder="1" applyAlignment="1" applyProtection="1">
      <alignment horizontal="left"/>
    </xf>
    <xf numFmtId="3" fontId="28" fillId="0" borderId="0" xfId="0" applyNumberFormat="1" applyFont="1" applyBorder="1" applyAlignment="1">
      <alignment vertical="top" wrapText="1"/>
    </xf>
    <xf numFmtId="3" fontId="28" fillId="0" borderId="0" xfId="0" applyNumberFormat="1" applyFont="1" applyBorder="1" applyAlignment="1">
      <alignment vertical="top"/>
    </xf>
    <xf numFmtId="3" fontId="0" fillId="0" borderId="0" xfId="0" applyNumberFormat="1" applyBorder="1"/>
    <xf numFmtId="0" fontId="0" fillId="0" borderId="0" xfId="0" applyBorder="1"/>
    <xf numFmtId="166" fontId="8" fillId="0" borderId="0" xfId="0" applyNumberFormat="1" applyFont="1" applyFill="1" applyBorder="1"/>
    <xf numFmtId="166" fontId="11" fillId="0" borderId="0" xfId="0" applyNumberFormat="1" applyFont="1" applyFill="1" applyBorder="1"/>
    <xf numFmtId="166" fontId="9" fillId="0" borderId="0" xfId="0" applyNumberFormat="1" applyFont="1" applyFill="1" applyBorder="1" applyAlignment="1">
      <alignment horizontal="right"/>
    </xf>
    <xf numFmtId="0" fontId="12" fillId="0" borderId="0" xfId="0" applyFont="1" applyFill="1"/>
    <xf numFmtId="3" fontId="12" fillId="0" borderId="0" xfId="0" applyNumberFormat="1" applyFont="1" applyFill="1"/>
    <xf numFmtId="2" fontId="9" fillId="0" borderId="0" xfId="0" applyNumberFormat="1" applyFont="1" applyFill="1" applyBorder="1"/>
    <xf numFmtId="0" fontId="3" fillId="0" borderId="0" xfId="0" applyFont="1" applyFill="1"/>
    <xf numFmtId="2" fontId="8" fillId="0" borderId="0" xfId="0" applyNumberFormat="1" applyFont="1" applyFill="1" applyBorder="1"/>
    <xf numFmtId="171" fontId="9" fillId="0" borderId="0" xfId="0" applyNumberFormat="1" applyFont="1" applyFill="1" applyBorder="1"/>
    <xf numFmtId="0" fontId="3" fillId="0" borderId="0" xfId="0" applyFont="1" applyBorder="1"/>
    <xf numFmtId="0" fontId="8" fillId="0" borderId="0" xfId="0" applyFont="1" applyFill="1" applyBorder="1"/>
    <xf numFmtId="0" fontId="9" fillId="0" borderId="0" xfId="0" applyFont="1" applyFill="1" applyBorder="1" applyAlignment="1">
      <alignment horizontal="right"/>
    </xf>
    <xf numFmtId="0" fontId="12" fillId="0" borderId="0" xfId="0" applyFont="1" applyFill="1" applyAlignment="1">
      <alignment horizontal="left"/>
    </xf>
    <xf numFmtId="3" fontId="8" fillId="0" borderId="3" xfId="0" applyNumberFormat="1" applyFont="1" applyFill="1" applyBorder="1"/>
    <xf numFmtId="3" fontId="9" fillId="0" borderId="3" xfId="0" applyNumberFormat="1" applyFont="1" applyFill="1" applyBorder="1"/>
    <xf numFmtId="3" fontId="3" fillId="0" borderId="3" xfId="0" applyNumberFormat="1" applyFont="1" applyBorder="1"/>
    <xf numFmtId="0" fontId="3" fillId="0" borderId="3" xfId="0" applyFont="1" applyBorder="1"/>
    <xf numFmtId="0" fontId="8" fillId="0" borderId="3" xfId="0" applyFont="1" applyFill="1" applyBorder="1"/>
    <xf numFmtId="0" fontId="3" fillId="0" borderId="3" xfId="0" applyFont="1" applyFill="1" applyBorder="1"/>
    <xf numFmtId="0" fontId="9" fillId="6" borderId="0" xfId="0" applyFont="1" applyFill="1" applyBorder="1"/>
    <xf numFmtId="0" fontId="8" fillId="6" borderId="0" xfId="0" applyFont="1" applyFill="1" applyBorder="1"/>
    <xf numFmtId="0" fontId="12" fillId="6" borderId="0" xfId="0" applyFont="1" applyFill="1"/>
    <xf numFmtId="3" fontId="9" fillId="4" borderId="3" xfId="0" applyNumberFormat="1" applyFont="1" applyFill="1" applyBorder="1" applyAlignment="1" applyProtection="1">
      <alignment horizontal="right"/>
    </xf>
    <xf numFmtId="0" fontId="9" fillId="4" borderId="3" xfId="0" applyFont="1" applyFill="1" applyBorder="1"/>
    <xf numFmtId="166" fontId="3" fillId="0" borderId="0" xfId="0" applyNumberFormat="1" applyFont="1" applyFill="1" applyBorder="1"/>
    <xf numFmtId="0" fontId="12" fillId="0" borderId="0" xfId="0" applyFont="1" applyFill="1" applyBorder="1" applyAlignment="1">
      <alignment horizontal="right"/>
    </xf>
    <xf numFmtId="0" fontId="3" fillId="4" borderId="0" xfId="0" applyFont="1" applyFill="1" applyBorder="1"/>
    <xf numFmtId="3" fontId="10" fillId="4" borderId="0" xfId="0" applyNumberFormat="1" applyFont="1" applyFill="1" applyBorder="1" applyAlignment="1">
      <alignment horizontal="right"/>
    </xf>
    <xf numFmtId="0" fontId="0" fillId="0" borderId="0" xfId="0" applyAlignment="1">
      <alignment wrapText="1"/>
    </xf>
    <xf numFmtId="0" fontId="7" fillId="0" borderId="0" xfId="0" applyFont="1" applyAlignment="1">
      <alignment wrapText="1"/>
    </xf>
    <xf numFmtId="0" fontId="12" fillId="0" borderId="0" xfId="0" applyFont="1" applyFill="1" applyBorder="1"/>
    <xf numFmtId="169" fontId="8" fillId="0" borderId="0" xfId="0" applyNumberFormat="1" applyFont="1" applyFill="1" applyBorder="1"/>
    <xf numFmtId="0" fontId="3" fillId="0" borderId="0" xfId="0" applyFont="1" applyFill="1" applyBorder="1" applyAlignment="1">
      <alignment horizontal="right"/>
    </xf>
    <xf numFmtId="0" fontId="10" fillId="0" borderId="0" xfId="0" applyFont="1" applyFill="1" applyBorder="1" applyAlignment="1">
      <alignment horizontal="right"/>
    </xf>
    <xf numFmtId="3" fontId="3" fillId="0" borderId="0" xfId="0" applyNumberFormat="1" applyFont="1" applyFill="1" applyBorder="1" applyAlignment="1">
      <alignment horizontal="right"/>
    </xf>
    <xf numFmtId="0" fontId="31" fillId="0" borderId="3" xfId="0" applyFont="1" applyFill="1" applyBorder="1"/>
    <xf numFmtId="3" fontId="31" fillId="0" borderId="0" xfId="0" applyNumberFormat="1" applyFont="1" applyFill="1" applyBorder="1"/>
    <xf numFmtId="10" fontId="8" fillId="0" borderId="0" xfId="0" applyNumberFormat="1" applyFont="1" applyFill="1" applyBorder="1" applyAlignment="1">
      <alignment horizontal="right"/>
    </xf>
    <xf numFmtId="3" fontId="3" fillId="0" borderId="0" xfId="0" applyNumberFormat="1" applyFont="1" applyFill="1" applyBorder="1"/>
    <xf numFmtId="0" fontId="30" fillId="0" borderId="0" xfId="0" applyFont="1" applyFill="1" applyBorder="1" applyAlignment="1">
      <alignment horizontal="right"/>
    </xf>
    <xf numFmtId="0" fontId="10" fillId="0" borderId="0" xfId="0" applyFont="1" applyFill="1" applyBorder="1" applyAlignment="1">
      <alignment horizontal="left"/>
    </xf>
    <xf numFmtId="14" fontId="32" fillId="0" borderId="0" xfId="0" applyNumberFormat="1" applyFont="1" applyFill="1" applyBorder="1" applyAlignment="1">
      <alignment horizontal="right"/>
    </xf>
    <xf numFmtId="0" fontId="9" fillId="0" borderId="0" xfId="0" applyFont="1" applyBorder="1" applyAlignment="1">
      <alignment horizontal="right"/>
    </xf>
    <xf numFmtId="3" fontId="12" fillId="0" borderId="0" xfId="0" applyNumberFormat="1" applyFont="1" applyFill="1" applyBorder="1" applyAlignment="1">
      <alignment horizontal="right"/>
    </xf>
    <xf numFmtId="10" fontId="9" fillId="0" borderId="0" xfId="0" applyNumberFormat="1" applyFont="1" applyFill="1" applyBorder="1" applyAlignment="1">
      <alignment horizontal="right"/>
    </xf>
    <xf numFmtId="0" fontId="3" fillId="0" borderId="3" xfId="0" applyFont="1" applyFill="1" applyBorder="1" applyAlignment="1">
      <alignment horizontal="right"/>
    </xf>
    <xf numFmtId="4" fontId="12" fillId="0" borderId="0" xfId="0" applyNumberFormat="1" applyFont="1" applyFill="1" applyBorder="1" applyAlignment="1">
      <alignment horizontal="right"/>
    </xf>
    <xf numFmtId="10" fontId="12" fillId="0" borderId="0" xfId="0" applyNumberFormat="1" applyFont="1" applyFill="1" applyBorder="1" applyAlignment="1">
      <alignment horizontal="right"/>
    </xf>
    <xf numFmtId="3" fontId="12" fillId="0" borderId="3" xfId="0" applyNumberFormat="1" applyFont="1" applyFill="1" applyBorder="1" applyAlignment="1">
      <alignment horizontal="right"/>
    </xf>
    <xf numFmtId="176" fontId="8" fillId="0" borderId="0" xfId="0" applyNumberFormat="1" applyFont="1" applyFill="1" applyBorder="1"/>
    <xf numFmtId="0" fontId="0" fillId="0" borderId="0" xfId="0" applyFont="1" applyAlignment="1"/>
    <xf numFmtId="0" fontId="0" fillId="0" borderId="0" xfId="0" applyFont="1"/>
    <xf numFmtId="168" fontId="12" fillId="0" borderId="0" xfId="0" applyNumberFormat="1" applyFont="1" applyFill="1" applyBorder="1"/>
    <xf numFmtId="3" fontId="12" fillId="4" borderId="3" xfId="0" applyNumberFormat="1" applyFont="1" applyFill="1" applyBorder="1" applyAlignment="1">
      <alignment horizontal="right"/>
    </xf>
    <xf numFmtId="0" fontId="12" fillId="4" borderId="3" xfId="0" applyFont="1" applyFill="1" applyBorder="1"/>
    <xf numFmtId="0" fontId="2" fillId="4" borderId="0" xfId="0" applyFont="1" applyFill="1"/>
    <xf numFmtId="3" fontId="9" fillId="4" borderId="3" xfId="0" applyNumberFormat="1" applyFont="1" applyFill="1" applyBorder="1"/>
    <xf numFmtId="3" fontId="12" fillId="4" borderId="3" xfId="0" applyNumberFormat="1" applyFont="1" applyFill="1" applyBorder="1"/>
    <xf numFmtId="0" fontId="0" fillId="4" borderId="3" xfId="0" applyFill="1" applyBorder="1" applyAlignment="1">
      <alignment wrapText="1"/>
    </xf>
    <xf numFmtId="0" fontId="0" fillId="4" borderId="0" xfId="0" applyFill="1" applyAlignment="1">
      <alignment wrapText="1"/>
    </xf>
    <xf numFmtId="0" fontId="0" fillId="7" borderId="0" xfId="0" applyFill="1" applyAlignment="1">
      <alignment wrapText="1"/>
    </xf>
    <xf numFmtId="0" fontId="3" fillId="7" borderId="0" xfId="0" applyFont="1" applyFill="1" applyBorder="1" applyAlignment="1">
      <alignment horizontal="right" wrapText="1"/>
    </xf>
    <xf numFmtId="10" fontId="8" fillId="7" borderId="0" xfId="0" applyNumberFormat="1" applyFont="1" applyFill="1" applyBorder="1" applyAlignment="1">
      <alignment horizontal="right" wrapText="1"/>
    </xf>
    <xf numFmtId="0" fontId="9" fillId="7" borderId="3" xfId="0" applyFont="1" applyFill="1" applyBorder="1"/>
    <xf numFmtId="0" fontId="2" fillId="7" borderId="0" xfId="0" applyFont="1" applyFill="1"/>
    <xf numFmtId="10" fontId="12" fillId="7" borderId="0" xfId="0" applyNumberFormat="1" applyFont="1" applyFill="1" applyBorder="1" applyAlignment="1">
      <alignment horizontal="right"/>
    </xf>
    <xf numFmtId="10" fontId="9" fillId="7" borderId="0" xfId="0" applyNumberFormat="1" applyFont="1" applyFill="1" applyBorder="1" applyAlignment="1">
      <alignment wrapText="1"/>
    </xf>
    <xf numFmtId="172" fontId="12" fillId="0" borderId="0" xfId="0" applyNumberFormat="1" applyFont="1" applyFill="1" applyBorder="1"/>
    <xf numFmtId="3" fontId="3" fillId="4" borderId="0" xfId="0" applyNumberFormat="1" applyFont="1" applyFill="1" applyBorder="1"/>
    <xf numFmtId="0" fontId="3" fillId="8" borderId="0" xfId="0" applyFont="1" applyFill="1" applyBorder="1"/>
    <xf numFmtId="0" fontId="3" fillId="7" borderId="0" xfId="0" applyFont="1" applyFill="1" applyBorder="1"/>
    <xf numFmtId="0" fontId="0" fillId="7" borderId="0" xfId="0" applyFont="1" applyFill="1"/>
    <xf numFmtId="0" fontId="12" fillId="0" borderId="0" xfId="0" applyFont="1"/>
    <xf numFmtId="0" fontId="3" fillId="0" borderId="0" xfId="0" applyFont="1" applyBorder="1" applyAlignment="1">
      <alignment horizontal="right"/>
    </xf>
    <xf numFmtId="3" fontId="10" fillId="0" borderId="0" xfId="0" applyNumberFormat="1" applyFont="1" applyBorder="1" applyAlignment="1">
      <alignment horizontal="right"/>
    </xf>
    <xf numFmtId="3" fontId="12" fillId="0" borderId="3" xfId="0" applyNumberFormat="1" applyFont="1" applyBorder="1"/>
    <xf numFmtId="3" fontId="3" fillId="0" borderId="3" xfId="0" applyNumberFormat="1" applyFont="1" applyFill="1" applyBorder="1"/>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3" fillId="0" borderId="0" xfId="0" applyFont="1" applyFill="1" applyBorder="1" applyAlignment="1">
      <alignment horizontal="left" vertical="center" wrapText="1"/>
    </xf>
    <xf numFmtId="3" fontId="35" fillId="0" borderId="0" xfId="0" applyNumberFormat="1" applyFont="1" applyFill="1" applyBorder="1" applyAlignment="1">
      <alignment horizontal="left" vertical="center" wrapText="1"/>
    </xf>
    <xf numFmtId="0" fontId="35" fillId="3" borderId="3" xfId="0" applyFont="1" applyFill="1" applyBorder="1" applyAlignment="1">
      <alignment horizontal="left" vertical="center" wrapText="1"/>
    </xf>
    <xf numFmtId="0" fontId="35" fillId="3" borderId="0" xfId="0" applyFont="1" applyFill="1" applyBorder="1" applyAlignment="1">
      <alignment horizontal="left" vertical="center" wrapText="1"/>
    </xf>
    <xf numFmtId="3" fontId="36" fillId="3" borderId="3" xfId="0" applyNumberFormat="1" applyFont="1" applyFill="1" applyBorder="1" applyAlignment="1">
      <alignment horizontal="left" vertical="center" wrapText="1"/>
    </xf>
    <xf numFmtId="0" fontId="34"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3" fontId="37" fillId="0" borderId="0" xfId="0" applyNumberFormat="1" applyFont="1" applyFill="1" applyBorder="1" applyAlignment="1">
      <alignment horizontal="left" vertical="center" wrapText="1"/>
    </xf>
    <xf numFmtId="4" fontId="37" fillId="0" borderId="0" xfId="0" applyNumberFormat="1" applyFont="1" applyFill="1" applyBorder="1" applyAlignment="1">
      <alignment horizontal="left" vertical="center" wrapText="1"/>
    </xf>
    <xf numFmtId="173" fontId="37" fillId="0" borderId="0" xfId="0" applyNumberFormat="1" applyFont="1" applyFill="1" applyBorder="1" applyAlignment="1">
      <alignment horizontal="left" vertical="center" wrapText="1"/>
    </xf>
    <xf numFmtId="173" fontId="34" fillId="0" borderId="0" xfId="0" applyNumberFormat="1" applyFont="1" applyFill="1" applyBorder="1" applyAlignment="1">
      <alignment horizontal="left" vertical="center" wrapText="1"/>
    </xf>
    <xf numFmtId="9" fontId="34" fillId="0" borderId="0" xfId="0" applyNumberFormat="1" applyFont="1" applyFill="1" applyBorder="1" applyAlignment="1">
      <alignment horizontal="left" vertical="center" wrapText="1"/>
    </xf>
    <xf numFmtId="0" fontId="34" fillId="0" borderId="0" xfId="0" applyFont="1" applyAlignment="1">
      <alignment horizontal="left" vertical="center" wrapText="1"/>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3" fontId="36" fillId="0" borderId="0" xfId="0" applyNumberFormat="1" applyFont="1" applyFill="1" applyBorder="1" applyAlignment="1">
      <alignment horizontal="left" vertical="center" wrapText="1"/>
    </xf>
    <xf numFmtId="4" fontId="36" fillId="3" borderId="0" xfId="0" applyNumberFormat="1" applyFont="1" applyFill="1" applyBorder="1" applyAlignment="1">
      <alignment horizontal="left" vertical="center" wrapText="1"/>
    </xf>
    <xf numFmtId="3" fontId="35" fillId="3" borderId="3" xfId="0" applyNumberFormat="1" applyFont="1" applyFill="1" applyBorder="1" applyAlignment="1">
      <alignment horizontal="left" vertical="center" wrapText="1"/>
    </xf>
    <xf numFmtId="4" fontId="36" fillId="0" borderId="0" xfId="0" applyNumberFormat="1" applyFont="1" applyBorder="1" applyAlignment="1">
      <alignment wrapText="1"/>
    </xf>
    <xf numFmtId="4" fontId="36" fillId="0" borderId="0" xfId="0" applyNumberFormat="1" applyFont="1" applyFill="1" applyBorder="1" applyAlignment="1">
      <alignment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12" fillId="0" borderId="1" xfId="0" applyFont="1" applyFill="1" applyBorder="1"/>
    <xf numFmtId="4" fontId="3" fillId="0" borderId="0" xfId="0" applyNumberFormat="1" applyFont="1" applyFill="1" applyBorder="1" applyAlignment="1">
      <alignment wrapText="1"/>
    </xf>
    <xf numFmtId="168" fontId="3" fillId="0" borderId="0" xfId="0" applyNumberFormat="1" applyFont="1" applyBorder="1" applyAlignment="1">
      <alignment horizontal="right"/>
    </xf>
    <xf numFmtId="4" fontId="36" fillId="3" borderId="3" xfId="0" applyNumberFormat="1" applyFont="1" applyFill="1" applyBorder="1" applyAlignment="1">
      <alignment horizontal="left" vertical="center" wrapText="1"/>
    </xf>
    <xf numFmtId="0" fontId="3" fillId="7" borderId="0" xfId="0" applyFont="1" applyFill="1"/>
    <xf numFmtId="0" fontId="12" fillId="7" borderId="0" xfId="0" applyFont="1" applyFill="1"/>
    <xf numFmtId="0" fontId="3" fillId="7" borderId="3" xfId="0" applyFont="1" applyFill="1" applyBorder="1"/>
    <xf numFmtId="0" fontId="3" fillId="7" borderId="0" xfId="0" applyFont="1" applyFill="1" applyBorder="1" applyAlignment="1">
      <alignment horizontal="right"/>
    </xf>
    <xf numFmtId="3" fontId="8" fillId="7" borderId="0" xfId="0" applyNumberFormat="1" applyFont="1" applyFill="1" applyBorder="1" applyAlignment="1">
      <alignment horizontal="right"/>
    </xf>
    <xf numFmtId="168" fontId="12" fillId="7" borderId="0" xfId="0" applyNumberFormat="1" applyFont="1" applyFill="1" applyBorder="1" applyAlignment="1">
      <alignment horizontal="right"/>
    </xf>
    <xf numFmtId="0" fontId="12" fillId="8" borderId="0" xfId="0" applyFont="1" applyFill="1" applyBorder="1"/>
    <xf numFmtId="0" fontId="12" fillId="8" borderId="3" xfId="0" applyFont="1" applyFill="1" applyBorder="1"/>
    <xf numFmtId="172" fontId="12" fillId="8" borderId="0" xfId="0" applyNumberFormat="1" applyFont="1" applyFill="1" applyBorder="1"/>
    <xf numFmtId="0" fontId="12" fillId="8" borderId="3" xfId="0" applyFont="1" applyFill="1" applyBorder="1" applyAlignment="1">
      <alignment horizontal="left"/>
    </xf>
    <xf numFmtId="0" fontId="9" fillId="0" borderId="0" xfId="0" applyFont="1" applyFill="1"/>
    <xf numFmtId="0" fontId="31" fillId="0" borderId="0" xfId="0" applyFont="1" applyFill="1"/>
    <xf numFmtId="0" fontId="8" fillId="0" borderId="0" xfId="0" applyFont="1" applyFill="1"/>
    <xf numFmtId="14" fontId="31" fillId="0" borderId="0" xfId="0" applyNumberFormat="1" applyFont="1" applyFill="1" applyAlignment="1">
      <alignment horizontal="left"/>
    </xf>
    <xf numFmtId="166" fontId="9" fillId="0" borderId="0" xfId="0" applyNumberFormat="1" applyFont="1" applyFill="1" applyBorder="1"/>
    <xf numFmtId="0" fontId="8" fillId="0" borderId="0" xfId="0" applyFont="1" applyFill="1" applyBorder="1" applyAlignment="1">
      <alignment horizontal="left"/>
    </xf>
    <xf numFmtId="3" fontId="8" fillId="0" borderId="0" xfId="0" applyNumberFormat="1" applyFont="1" applyFill="1"/>
    <xf numFmtId="0" fontId="8" fillId="0" borderId="0" xfId="0" applyFont="1" applyFill="1" applyProtection="1"/>
    <xf numFmtId="0" fontId="8" fillId="0" borderId="0" xfId="0" applyFont="1" applyFill="1" applyAlignment="1" applyProtection="1">
      <alignment horizontal="left"/>
    </xf>
    <xf numFmtId="0" fontId="36" fillId="0" borderId="0" xfId="0" applyFont="1" applyFill="1" applyAlignment="1">
      <alignment horizontal="left" vertical="center" wrapText="1"/>
    </xf>
    <xf numFmtId="3" fontId="37" fillId="0" borderId="0" xfId="0" applyNumberFormat="1" applyFont="1" applyAlignment="1">
      <alignment horizontal="left" vertical="center" wrapText="1"/>
    </xf>
    <xf numFmtId="0" fontId="9" fillId="0" borderId="1" xfId="0" applyFont="1" applyFill="1" applyBorder="1"/>
    <xf numFmtId="3" fontId="9" fillId="0" borderId="1" xfId="0" applyNumberFormat="1" applyFont="1" applyFill="1" applyBorder="1"/>
    <xf numFmtId="166" fontId="36" fillId="10" borderId="1" xfId="0" applyNumberFormat="1" applyFont="1" applyFill="1" applyBorder="1" applyAlignment="1">
      <alignment horizontal="left" vertical="center" wrapText="1"/>
    </xf>
    <xf numFmtId="166" fontId="9" fillId="9" borderId="1" xfId="0" applyNumberFormat="1" applyFont="1" applyFill="1" applyBorder="1"/>
    <xf numFmtId="166" fontId="35" fillId="2" borderId="0" xfId="0" applyNumberFormat="1" applyFont="1" applyFill="1" applyBorder="1" applyAlignment="1">
      <alignment horizontal="left" vertical="center" wrapText="1"/>
    </xf>
    <xf numFmtId="3" fontId="9" fillId="0" borderId="0" xfId="0" applyNumberFormat="1" applyFont="1" applyBorder="1" applyAlignment="1">
      <alignment horizontal="left"/>
    </xf>
    <xf numFmtId="3" fontId="9" fillId="0" borderId="0" xfId="0" applyNumberFormat="1" applyFont="1"/>
    <xf numFmtId="3" fontId="8" fillId="0" borderId="3" xfId="0" applyNumberFormat="1" applyFont="1" applyBorder="1"/>
    <xf numFmtId="3" fontId="8" fillId="0" borderId="3" xfId="0" applyNumberFormat="1" applyFont="1" applyBorder="1" applyAlignment="1">
      <alignment horizontal="right"/>
    </xf>
    <xf numFmtId="14" fontId="30" fillId="0" borderId="0" xfId="0" applyNumberFormat="1" applyFont="1" applyFill="1" applyBorder="1" applyAlignment="1">
      <alignment horizontal="right"/>
    </xf>
    <xf numFmtId="3" fontId="30" fillId="0" borderId="0" xfId="0" applyNumberFormat="1" applyFont="1" applyBorder="1" applyAlignment="1">
      <alignment horizontal="right"/>
    </xf>
    <xf numFmtId="3" fontId="29" fillId="0" borderId="0" xfId="0" applyNumberFormat="1" applyFont="1" applyBorder="1" applyAlignment="1">
      <alignment horizontal="center"/>
    </xf>
    <xf numFmtId="178" fontId="8" fillId="0" borderId="0" xfId="0" applyNumberFormat="1" applyFont="1" applyBorder="1" applyAlignment="1">
      <alignment horizontal="right"/>
    </xf>
    <xf numFmtId="3" fontId="10" fillId="0" borderId="0" xfId="0" applyNumberFormat="1" applyFont="1" applyFill="1" applyBorder="1" applyAlignment="1">
      <alignment horizontal="center"/>
    </xf>
    <xf numFmtId="165" fontId="8" fillId="0" borderId="0" xfId="0" applyNumberFormat="1" applyFont="1" applyBorder="1" applyAlignment="1">
      <alignment horizontal="right"/>
    </xf>
    <xf numFmtId="178" fontId="8" fillId="0" borderId="0" xfId="0" applyNumberFormat="1" applyFont="1" applyFill="1" applyBorder="1" applyAlignment="1">
      <alignment horizontal="right"/>
    </xf>
    <xf numFmtId="179" fontId="9" fillId="0" borderId="0" xfId="0" applyNumberFormat="1" applyFont="1" applyFill="1" applyBorder="1" applyAlignment="1">
      <alignment horizontal="right"/>
    </xf>
    <xf numFmtId="4" fontId="9" fillId="0" borderId="0" xfId="0" applyNumberFormat="1" applyFont="1" applyFill="1" applyBorder="1" applyAlignment="1">
      <alignment horizontal="right"/>
    </xf>
    <xf numFmtId="0" fontId="8" fillId="0" borderId="0" xfId="0" applyFont="1" applyBorder="1" applyAlignment="1">
      <alignment horizontal="left"/>
    </xf>
    <xf numFmtId="3" fontId="8" fillId="0" borderId="3" xfId="0" applyNumberFormat="1" applyFont="1" applyFill="1" applyBorder="1" applyAlignment="1" applyProtection="1">
      <alignment horizontal="right"/>
      <protection locked="0"/>
    </xf>
    <xf numFmtId="2" fontId="8" fillId="0" borderId="0" xfId="0" applyNumberFormat="1" applyFont="1" applyAlignment="1">
      <alignment horizontal="right"/>
    </xf>
    <xf numFmtId="3" fontId="8" fillId="0" borderId="3" xfId="0" applyNumberFormat="1" applyFont="1" applyFill="1" applyBorder="1" applyAlignment="1">
      <alignment horizontal="right"/>
    </xf>
    <xf numFmtId="3" fontId="31" fillId="0" borderId="3" xfId="0" applyNumberFormat="1" applyFont="1" applyFill="1" applyBorder="1" applyAlignment="1" applyProtection="1">
      <alignment horizontal="right"/>
      <protection locked="0"/>
    </xf>
    <xf numFmtId="3" fontId="31" fillId="0" borderId="0" xfId="0" applyNumberFormat="1" applyFont="1" applyFill="1" applyBorder="1" applyAlignment="1">
      <alignment horizontal="right"/>
    </xf>
    <xf numFmtId="3" fontId="8" fillId="0" borderId="0" xfId="0" applyNumberFormat="1" applyFont="1"/>
    <xf numFmtId="3" fontId="36" fillId="0" borderId="0" xfId="0" applyNumberFormat="1" applyFont="1" applyBorder="1" applyAlignment="1">
      <alignment vertical="center" wrapText="1"/>
    </xf>
    <xf numFmtId="3" fontId="35" fillId="0" borderId="0" xfId="0" applyNumberFormat="1" applyFont="1" applyAlignment="1">
      <alignment vertical="center" wrapText="1"/>
    </xf>
    <xf numFmtId="3" fontId="36" fillId="0" borderId="3" xfId="0" applyNumberFormat="1" applyFont="1" applyBorder="1" applyAlignment="1">
      <alignment vertical="center" wrapText="1"/>
    </xf>
    <xf numFmtId="3" fontId="35" fillId="0" borderId="0" xfId="0" applyNumberFormat="1" applyFont="1" applyBorder="1" applyAlignment="1">
      <alignment vertical="center" wrapText="1"/>
    </xf>
    <xf numFmtId="178" fontId="36" fillId="0" borderId="0" xfId="0" applyNumberFormat="1" applyFont="1" applyBorder="1" applyAlignment="1">
      <alignment vertical="center" wrapText="1"/>
    </xf>
    <xf numFmtId="0" fontId="34" fillId="0" borderId="0" xfId="0" applyFont="1" applyAlignment="1">
      <alignment vertical="center" wrapText="1"/>
    </xf>
    <xf numFmtId="3" fontId="34" fillId="0" borderId="0" xfId="0" applyNumberFormat="1" applyFont="1" applyAlignment="1">
      <alignment vertical="center" wrapText="1"/>
    </xf>
    <xf numFmtId="166" fontId="9" fillId="0" borderId="3" xfId="0" applyNumberFormat="1" applyFont="1" applyFill="1" applyBorder="1" applyAlignment="1">
      <alignment horizontal="right"/>
    </xf>
    <xf numFmtId="166" fontId="9" fillId="0" borderId="6" xfId="0" applyNumberFormat="1" applyFont="1" applyFill="1" applyBorder="1" applyAlignment="1">
      <alignment horizontal="right"/>
    </xf>
    <xf numFmtId="174" fontId="30" fillId="0" borderId="3" xfId="0" applyNumberFormat="1" applyFont="1" applyFill="1" applyBorder="1" applyAlignment="1">
      <alignment horizontal="right"/>
    </xf>
    <xf numFmtId="166" fontId="8" fillId="0" borderId="6" xfId="0" applyNumberFormat="1" applyFont="1" applyFill="1" applyBorder="1" applyAlignment="1">
      <alignment horizontal="right"/>
    </xf>
    <xf numFmtId="3" fontId="36" fillId="3" borderId="3" xfId="0" applyNumberFormat="1" applyFont="1" applyFill="1" applyBorder="1" applyAlignment="1">
      <alignment vertical="center" wrapText="1"/>
    </xf>
    <xf numFmtId="3" fontId="36" fillId="3" borderId="0" xfId="0" applyNumberFormat="1" applyFont="1" applyFill="1" applyBorder="1" applyAlignment="1">
      <alignment vertical="center" wrapText="1"/>
    </xf>
    <xf numFmtId="0" fontId="34" fillId="3" borderId="0" xfId="0" applyFont="1" applyFill="1" applyAlignment="1">
      <alignment vertical="center" wrapText="1"/>
    </xf>
    <xf numFmtId="174" fontId="36" fillId="3" borderId="0" xfId="0" applyNumberFormat="1" applyFont="1" applyFill="1" applyBorder="1" applyAlignment="1">
      <alignment vertical="center" wrapText="1"/>
    </xf>
    <xf numFmtId="174" fontId="9" fillId="7" borderId="4" xfId="0" applyNumberFormat="1" applyFont="1" applyFill="1" applyBorder="1" applyAlignment="1">
      <alignment horizontal="right"/>
    </xf>
    <xf numFmtId="166" fontId="9" fillId="7" borderId="9" xfId="0" applyNumberFormat="1" applyFont="1" applyFill="1" applyBorder="1" applyAlignment="1">
      <alignment horizontal="right"/>
    </xf>
    <xf numFmtId="3" fontId="8" fillId="7" borderId="5" xfId="0" applyNumberFormat="1" applyFont="1" applyFill="1" applyBorder="1" applyAlignment="1">
      <alignment horizontal="left"/>
    </xf>
    <xf numFmtId="3" fontId="9" fillId="7" borderId="4" xfId="0" applyNumberFormat="1" applyFont="1" applyFill="1" applyBorder="1"/>
    <xf numFmtId="3" fontId="8" fillId="7" borderId="5" xfId="0" applyNumberFormat="1" applyFont="1" applyFill="1" applyBorder="1" applyAlignment="1">
      <alignment horizontal="right"/>
    </xf>
    <xf numFmtId="3" fontId="9" fillId="8" borderId="4" xfId="0" applyNumberFormat="1" applyFont="1" applyFill="1" applyBorder="1" applyAlignment="1">
      <alignment horizontal="left"/>
    </xf>
    <xf numFmtId="3" fontId="8" fillId="8" borderId="5" xfId="0" applyNumberFormat="1" applyFont="1" applyFill="1" applyBorder="1" applyAlignment="1">
      <alignment horizontal="right"/>
    </xf>
    <xf numFmtId="4" fontId="8" fillId="8" borderId="5" xfId="0" applyNumberFormat="1" applyFont="1" applyFill="1" applyBorder="1" applyAlignment="1">
      <alignment horizontal="right" wrapText="1"/>
    </xf>
    <xf numFmtId="3" fontId="9" fillId="7" borderId="5" xfId="0" applyNumberFormat="1" applyFont="1" applyFill="1" applyBorder="1" applyAlignment="1">
      <alignment horizontal="center"/>
    </xf>
    <xf numFmtId="0" fontId="9" fillId="0" borderId="0" xfId="0" applyFont="1"/>
    <xf numFmtId="0" fontId="8" fillId="0" borderId="0" xfId="0" applyFont="1"/>
    <xf numFmtId="14" fontId="9" fillId="0" borderId="0" xfId="0" applyNumberFormat="1" applyFont="1" applyAlignment="1">
      <alignment horizontal="left"/>
    </xf>
    <xf numFmtId="3" fontId="12" fillId="7" borderId="3" xfId="0" applyNumberFormat="1" applyFont="1" applyFill="1" applyBorder="1" applyAlignment="1">
      <alignment horizontal="right"/>
    </xf>
    <xf numFmtId="3" fontId="38" fillId="0" borderId="0" xfId="0" applyNumberFormat="1" applyFont="1" applyFill="1" applyBorder="1" applyAlignment="1"/>
    <xf numFmtId="180" fontId="8" fillId="0" borderId="0" xfId="0" applyNumberFormat="1" applyFont="1" applyBorder="1" applyAlignment="1">
      <alignment horizontal="center"/>
    </xf>
    <xf numFmtId="166" fontId="9" fillId="7" borderId="0" xfId="0" applyNumberFormat="1" applyFont="1" applyFill="1" applyBorder="1"/>
    <xf numFmtId="4" fontId="36" fillId="0" borderId="0" xfId="0" applyNumberFormat="1" applyFont="1" applyFill="1" applyBorder="1" applyAlignment="1">
      <alignment horizontal="left" vertical="center" wrapText="1"/>
    </xf>
    <xf numFmtId="0" fontId="37" fillId="0" borderId="0" xfId="0" applyFont="1" applyFill="1" applyAlignment="1">
      <alignment horizontal="left" vertical="center" wrapText="1"/>
    </xf>
    <xf numFmtId="0" fontId="34" fillId="0" borderId="0" xfId="0" applyFont="1" applyFill="1" applyAlignment="1">
      <alignment horizontal="left" vertical="center" wrapText="1"/>
    </xf>
    <xf numFmtId="10" fontId="35" fillId="5" borderId="2" xfId="0" applyNumberFormat="1" applyFont="1" applyFill="1" applyBorder="1" applyAlignment="1">
      <alignment horizontal="center" vertical="center"/>
    </xf>
    <xf numFmtId="0" fontId="39" fillId="0" borderId="0" xfId="0" applyFont="1" applyBorder="1" applyAlignment="1">
      <alignment horizontal="center"/>
    </xf>
    <xf numFmtId="3" fontId="12" fillId="4" borderId="1" xfId="0" applyNumberFormat="1" applyFont="1" applyFill="1" applyBorder="1"/>
    <xf numFmtId="166" fontId="9" fillId="0" borderId="0" xfId="0" applyNumberFormat="1" applyFont="1" applyBorder="1"/>
    <xf numFmtId="0" fontId="40" fillId="0" borderId="0" xfId="2" applyBorder="1" applyAlignment="1">
      <alignment horizontal="left"/>
    </xf>
    <xf numFmtId="0" fontId="40" fillId="0" borderId="0" xfId="2" applyFill="1"/>
    <xf numFmtId="0" fontId="40" fillId="0" borderId="0" xfId="2" applyFill="1" applyBorder="1"/>
    <xf numFmtId="0" fontId="40" fillId="0" borderId="0" xfId="2"/>
    <xf numFmtId="3" fontId="40" fillId="0" borderId="0" xfId="2" applyNumberFormat="1" applyBorder="1" applyAlignment="1">
      <alignment horizontal="left"/>
    </xf>
    <xf numFmtId="0" fontId="12" fillId="0" borderId="0" xfId="0" applyFont="1" applyFill="1" applyBorder="1" applyAlignment="1">
      <alignment vertical="top"/>
    </xf>
    <xf numFmtId="0" fontId="12" fillId="0" borderId="0" xfId="0" applyFont="1" applyFill="1" applyBorder="1" applyAlignment="1">
      <alignment horizontal="left" vertical="top" wrapText="1"/>
    </xf>
    <xf numFmtId="43" fontId="41" fillId="0" borderId="0" xfId="3" applyFont="1" applyFill="1" applyBorder="1" applyAlignment="1">
      <alignment horizontal="right"/>
    </xf>
    <xf numFmtId="43" fontId="41" fillId="0" borderId="3" xfId="3" applyFont="1" applyFill="1" applyBorder="1" applyAlignment="1">
      <alignment horizontal="left"/>
    </xf>
    <xf numFmtId="172" fontId="9" fillId="0" borderId="0" xfId="3" applyNumberFormat="1" applyFont="1" applyFill="1" applyBorder="1" applyAlignment="1">
      <alignment horizontal="right"/>
    </xf>
    <xf numFmtId="0" fontId="30" fillId="0" borderId="0" xfId="0" applyFont="1" applyBorder="1"/>
    <xf numFmtId="172" fontId="12" fillId="0" borderId="3" xfId="0" applyNumberFormat="1" applyFont="1" applyFill="1" applyBorder="1" applyAlignment="1">
      <alignment horizontal="right"/>
    </xf>
    <xf numFmtId="172" fontId="12" fillId="0" borderId="0" xfId="0" applyNumberFormat="1" applyFont="1" applyFill="1" applyBorder="1" applyAlignment="1">
      <alignment horizontal="right"/>
    </xf>
    <xf numFmtId="3" fontId="9" fillId="7" borderId="0" xfId="0" applyNumberFormat="1" applyFont="1" applyFill="1" applyBorder="1" applyAlignment="1">
      <alignment horizontal="right"/>
    </xf>
    <xf numFmtId="3" fontId="9" fillId="7" borderId="0" xfId="0" applyNumberFormat="1" applyFont="1" applyFill="1" applyBorder="1" applyAlignment="1">
      <alignment horizontal="center"/>
    </xf>
    <xf numFmtId="166" fontId="8" fillId="0" borderId="0" xfId="0" applyNumberFormat="1" applyFont="1" applyFill="1"/>
    <xf numFmtId="0" fontId="42" fillId="0" borderId="0" xfId="0" applyFont="1"/>
    <xf numFmtId="14" fontId="43" fillId="0" borderId="0" xfId="0" applyNumberFormat="1" applyFont="1" applyFill="1" applyAlignment="1">
      <alignment horizontal="left"/>
    </xf>
    <xf numFmtId="0" fontId="10" fillId="0" borderId="3" xfId="0" applyFont="1" applyBorder="1"/>
    <xf numFmtId="9" fontId="3" fillId="0" borderId="0" xfId="0" applyNumberFormat="1" applyFont="1" applyBorder="1" applyAlignment="1">
      <alignment horizontal="right"/>
    </xf>
    <xf numFmtId="9" fontId="3" fillId="0" borderId="0" xfId="0" applyNumberFormat="1" applyFont="1" applyFill="1" applyBorder="1" applyAlignment="1">
      <alignment horizontal="right"/>
    </xf>
    <xf numFmtId="9" fontId="8" fillId="0" borderId="0" xfId="0" applyNumberFormat="1" applyFont="1" applyFill="1" applyBorder="1" applyAlignment="1">
      <alignment horizontal="right"/>
    </xf>
    <xf numFmtId="0" fontId="10" fillId="0" borderId="0" xfId="0" applyFont="1" applyFill="1" applyBorder="1"/>
    <xf numFmtId="0" fontId="30" fillId="0" borderId="3" xfId="0" applyFont="1" applyFill="1" applyBorder="1" applyAlignment="1">
      <alignment horizontal="right"/>
    </xf>
    <xf numFmtId="0" fontId="10" fillId="0" borderId="0" xfId="0" applyFont="1" applyBorder="1"/>
    <xf numFmtId="0" fontId="30" fillId="6" borderId="0" xfId="0" applyFont="1" applyFill="1" applyBorder="1" applyAlignment="1">
      <alignment horizontal="right"/>
    </xf>
    <xf numFmtId="0" fontId="42" fillId="0" borderId="0" xfId="0" applyFont="1" applyFill="1" applyAlignment="1">
      <alignment wrapText="1"/>
    </xf>
    <xf numFmtId="14" fontId="43" fillId="0" borderId="1" xfId="0" applyNumberFormat="1" applyFont="1" applyFill="1" applyBorder="1" applyAlignment="1">
      <alignment horizontal="left"/>
    </xf>
    <xf numFmtId="3" fontId="8" fillId="7" borderId="0" xfId="0" applyNumberFormat="1" applyFont="1" applyFill="1" applyBorder="1"/>
    <xf numFmtId="166" fontId="5" fillId="0" borderId="0" xfId="0" applyNumberFormat="1" applyFont="1" applyFill="1" applyBorder="1" applyAlignment="1">
      <alignment horizontal="right"/>
    </xf>
    <xf numFmtId="166" fontId="9" fillId="5" borderId="0" xfId="0" applyNumberFormat="1" applyFont="1" applyFill="1" applyBorder="1" applyAlignment="1">
      <alignment horizontal="right"/>
    </xf>
    <xf numFmtId="0" fontId="0" fillId="7" borderId="0" xfId="0" applyFill="1"/>
    <xf numFmtId="172" fontId="44" fillId="0" borderId="0" xfId="0" applyNumberFormat="1" applyFont="1" applyFill="1" applyBorder="1"/>
    <xf numFmtId="4" fontId="45" fillId="0" borderId="0" xfId="0" applyNumberFormat="1" applyFont="1" applyFill="1" applyBorder="1" applyAlignment="1">
      <alignment wrapText="1"/>
    </xf>
    <xf numFmtId="3" fontId="30" fillId="0" borderId="0" xfId="0" applyNumberFormat="1" applyFont="1" applyFill="1" applyBorder="1" applyAlignment="1">
      <alignment horizontal="right"/>
    </xf>
    <xf numFmtId="10" fontId="12" fillId="0" borderId="0" xfId="4" applyNumberFormat="1" applyFont="1" applyFill="1" applyBorder="1" applyAlignment="1">
      <alignment horizontal="right"/>
    </xf>
    <xf numFmtId="3" fontId="6" fillId="0" borderId="0" xfId="0" applyNumberFormat="1" applyFont="1"/>
    <xf numFmtId="4" fontId="36" fillId="0" borderId="3" xfId="0" applyNumberFormat="1" applyFont="1" applyBorder="1" applyAlignment="1">
      <alignment wrapText="1"/>
    </xf>
    <xf numFmtId="0" fontId="0" fillId="0" borderId="0" xfId="0" applyFill="1" applyAlignment="1">
      <alignment wrapText="1"/>
    </xf>
    <xf numFmtId="0" fontId="0" fillId="0" borderId="0" xfId="0" applyFill="1" applyBorder="1" applyAlignment="1">
      <alignment wrapText="1"/>
    </xf>
    <xf numFmtId="0" fontId="2" fillId="0" borderId="0" xfId="0" applyFont="1" applyFill="1" applyBorder="1"/>
    <xf numFmtId="3" fontId="8" fillId="11" borderId="0" xfId="0" applyNumberFormat="1" applyFont="1" applyFill="1" applyBorder="1" applyAlignment="1">
      <alignment horizontal="right"/>
    </xf>
    <xf numFmtId="166" fontId="35" fillId="5" borderId="3" xfId="0" applyNumberFormat="1" applyFont="1" applyFill="1" applyBorder="1" applyAlignment="1">
      <alignment vertical="center" wrapText="1"/>
    </xf>
    <xf numFmtId="166" fontId="35" fillId="5" borderId="6" xfId="0" applyNumberFormat="1" applyFont="1" applyFill="1" applyBorder="1" applyAlignment="1">
      <alignment vertical="center" wrapText="1"/>
    </xf>
    <xf numFmtId="0" fontId="48" fillId="0" borderId="0" xfId="0" applyFont="1"/>
    <xf numFmtId="166" fontId="32" fillId="0" borderId="0" xfId="0" applyNumberFormat="1" applyFont="1" applyFill="1" applyBorder="1"/>
    <xf numFmtId="0" fontId="30" fillId="0" borderId="0" xfId="0" applyFont="1" applyFill="1" applyBorder="1"/>
    <xf numFmtId="3" fontId="9" fillId="0" borderId="6" xfId="0" applyNumberFormat="1" applyFont="1" applyBorder="1" applyAlignment="1">
      <alignment horizontal="right"/>
    </xf>
    <xf numFmtId="3" fontId="8" fillId="0" borderId="10" xfId="0" applyNumberFormat="1" applyFont="1" applyBorder="1" applyAlignment="1">
      <alignment horizontal="left"/>
    </xf>
    <xf numFmtId="3" fontId="8" fillId="0" borderId="4" xfId="0" applyNumberFormat="1" applyFont="1" applyBorder="1" applyAlignment="1">
      <alignment horizontal="left"/>
    </xf>
    <xf numFmtId="9" fontId="9" fillId="0" borderId="11" xfId="4" applyFont="1" applyBorder="1"/>
    <xf numFmtId="9" fontId="9" fillId="0" borderId="9" xfId="4" applyFont="1" applyBorder="1"/>
    <xf numFmtId="14" fontId="43" fillId="0" borderId="0" xfId="0" applyNumberFormat="1" applyFont="1" applyFill="1" applyBorder="1" applyAlignment="1">
      <alignment horizontal="left"/>
    </xf>
    <xf numFmtId="166" fontId="36" fillId="5" borderId="0" xfId="0" applyNumberFormat="1" applyFont="1" applyFill="1" applyBorder="1" applyAlignment="1">
      <alignment horizontal="left" vertical="center" wrapText="1"/>
    </xf>
    <xf numFmtId="169" fontId="10" fillId="0" borderId="0" xfId="0" applyNumberFormat="1" applyFont="1" applyFill="1" applyBorder="1"/>
    <xf numFmtId="0" fontId="42" fillId="0" borderId="0" xfId="0" applyFont="1" applyFill="1" applyBorder="1"/>
    <xf numFmtId="166" fontId="9" fillId="13" borderId="3" xfId="0" applyNumberFormat="1" applyFont="1" applyFill="1" applyBorder="1" applyAlignment="1">
      <alignment horizontal="right"/>
    </xf>
    <xf numFmtId="3" fontId="9" fillId="13" borderId="0" xfId="0" applyNumberFormat="1" applyFont="1" applyFill="1" applyBorder="1" applyAlignment="1">
      <alignment horizontal="right"/>
    </xf>
    <xf numFmtId="166" fontId="9" fillId="13" borderId="3" xfId="0" applyNumberFormat="1" applyFont="1" applyFill="1" applyBorder="1"/>
    <xf numFmtId="166" fontId="9" fillId="13" borderId="6" xfId="0" applyNumberFormat="1" applyFont="1" applyFill="1" applyBorder="1" applyAlignment="1">
      <alignment horizontal="right"/>
    </xf>
    <xf numFmtId="166" fontId="9" fillId="6" borderId="0" xfId="0" applyNumberFormat="1" applyFont="1" applyFill="1" applyBorder="1"/>
    <xf numFmtId="166" fontId="8" fillId="6" borderId="0" xfId="0" applyNumberFormat="1" applyFont="1" applyFill="1" applyBorder="1" applyAlignment="1">
      <alignment horizontal="right"/>
    </xf>
    <xf numFmtId="0" fontId="36" fillId="0" borderId="10"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1" xfId="0" applyFont="1" applyFill="1" applyBorder="1" applyAlignment="1">
      <alignment horizontal="left" vertical="center" wrapText="1"/>
    </xf>
    <xf numFmtId="2" fontId="12" fillId="0" borderId="6" xfId="0" applyNumberFormat="1" applyFont="1" applyFill="1" applyBorder="1" applyAlignment="1">
      <alignment horizontal="right"/>
    </xf>
    <xf numFmtId="2" fontId="3" fillId="0" borderId="6" xfId="0" applyNumberFormat="1" applyFont="1" applyFill="1" applyBorder="1" applyAlignment="1">
      <alignment horizontal="right"/>
    </xf>
    <xf numFmtId="3" fontId="8" fillId="0" borderId="4" xfId="0" applyNumberFormat="1" applyFont="1" applyFill="1" applyBorder="1"/>
    <xf numFmtId="3" fontId="8" fillId="0" borderId="5" xfId="0" applyNumberFormat="1" applyFont="1" applyFill="1" applyBorder="1"/>
    <xf numFmtId="3" fontId="36" fillId="0" borderId="11" xfId="0" applyNumberFormat="1" applyFont="1" applyFill="1" applyBorder="1" applyAlignment="1">
      <alignment horizontal="left" vertical="center" wrapText="1"/>
    </xf>
    <xf numFmtId="0" fontId="12" fillId="0" borderId="3" xfId="0" applyFont="1" applyFill="1" applyBorder="1" applyAlignment="1">
      <alignment horizontal="right"/>
    </xf>
    <xf numFmtId="3" fontId="12" fillId="0" borderId="6" xfId="0" applyNumberFormat="1" applyFont="1" applyFill="1" applyBorder="1" applyAlignment="1">
      <alignment horizontal="right"/>
    </xf>
    <xf numFmtId="3" fontId="3" fillId="0" borderId="6" xfId="0" applyNumberFormat="1" applyFont="1" applyFill="1" applyBorder="1" applyAlignment="1">
      <alignment horizontal="right"/>
    </xf>
    <xf numFmtId="0" fontId="32" fillId="0" borderId="3" xfId="0" applyFont="1" applyFill="1" applyBorder="1" applyAlignment="1">
      <alignment horizontal="right"/>
    </xf>
    <xf numFmtId="0" fontId="8" fillId="0" borderId="3" xfId="0" applyFont="1" applyFill="1" applyBorder="1" applyAlignment="1">
      <alignment horizontal="right"/>
    </xf>
    <xf numFmtId="0" fontId="3" fillId="0" borderId="4" xfId="0" applyFont="1" applyFill="1" applyBorder="1" applyAlignment="1">
      <alignment horizontal="right"/>
    </xf>
    <xf numFmtId="3" fontId="3" fillId="0" borderId="9" xfId="0" applyNumberFormat="1" applyFont="1" applyFill="1" applyBorder="1" applyAlignment="1">
      <alignment horizontal="right"/>
    </xf>
    <xf numFmtId="3" fontId="9" fillId="0" borderId="13" xfId="0" applyNumberFormat="1" applyFont="1" applyFill="1" applyBorder="1" applyAlignment="1">
      <alignment horizontal="right"/>
    </xf>
    <xf numFmtId="3" fontId="8"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8" fillId="0" borderId="14" xfId="0" applyNumberFormat="1" applyFont="1" applyFill="1" applyBorder="1" applyAlignment="1">
      <alignment horizontal="right"/>
    </xf>
    <xf numFmtId="3" fontId="36" fillId="0" borderId="13" xfId="0" applyNumberFormat="1" applyFont="1" applyFill="1" applyBorder="1" applyAlignment="1">
      <alignment horizontal="left" vertical="center" wrapText="1"/>
    </xf>
    <xf numFmtId="0" fontId="34" fillId="0" borderId="12" xfId="0" applyFont="1" applyFill="1" applyBorder="1" applyAlignment="1">
      <alignment horizontal="left" vertical="center" wrapText="1"/>
    </xf>
    <xf numFmtId="3" fontId="8" fillId="0" borderId="4" xfId="0" applyNumberFormat="1" applyFont="1" applyFill="1" applyBorder="1" applyAlignment="1">
      <alignment horizontal="right"/>
    </xf>
    <xf numFmtId="3" fontId="8" fillId="0" borderId="1" xfId="0" applyNumberFormat="1" applyFont="1" applyFill="1" applyBorder="1"/>
    <xf numFmtId="3" fontId="8" fillId="0" borderId="14" xfId="0" applyNumberFormat="1" applyFont="1" applyFill="1" applyBorder="1"/>
    <xf numFmtId="0" fontId="3" fillId="0" borderId="6" xfId="0" applyFont="1" applyFill="1" applyBorder="1" applyAlignment="1">
      <alignment horizontal="right"/>
    </xf>
    <xf numFmtId="0" fontId="3" fillId="0" borderId="9" xfId="0" applyFont="1" applyFill="1" applyBorder="1" applyAlignment="1">
      <alignment horizontal="right"/>
    </xf>
    <xf numFmtId="0" fontId="34" fillId="0" borderId="12" xfId="0" applyFont="1" applyBorder="1" applyAlignment="1">
      <alignment horizontal="left" vertical="center" wrapText="1"/>
    </xf>
    <xf numFmtId="166" fontId="8" fillId="0" borderId="3" xfId="0" applyNumberFormat="1" applyFont="1" applyFill="1" applyBorder="1" applyAlignment="1">
      <alignment horizontal="right"/>
    </xf>
    <xf numFmtId="2" fontId="3" fillId="0" borderId="6" xfId="0" applyNumberFormat="1" applyFont="1" applyFill="1" applyBorder="1"/>
    <xf numFmtId="3" fontId="8" fillId="0" borderId="5" xfId="0" applyNumberFormat="1" applyFont="1" applyFill="1" applyBorder="1" applyAlignment="1">
      <alignment horizontal="right"/>
    </xf>
    <xf numFmtId="10" fontId="8" fillId="0" borderId="5" xfId="0" applyNumberFormat="1" applyFont="1" applyFill="1" applyBorder="1" applyAlignment="1">
      <alignment horizontal="right"/>
    </xf>
    <xf numFmtId="2" fontId="3" fillId="0" borderId="9" xfId="0" applyNumberFormat="1" applyFont="1" applyFill="1" applyBorder="1"/>
    <xf numFmtId="0" fontId="36" fillId="0" borderId="13" xfId="0" applyFont="1" applyBorder="1" applyAlignment="1">
      <alignment horizontal="left" vertical="center" wrapText="1"/>
    </xf>
    <xf numFmtId="3" fontId="12" fillId="0" borderId="1" xfId="0" applyNumberFormat="1" applyFont="1" applyBorder="1"/>
    <xf numFmtId="3" fontId="3" fillId="0" borderId="1" xfId="0" applyNumberFormat="1" applyFont="1" applyBorder="1"/>
    <xf numFmtId="3" fontId="3" fillId="0" borderId="1" xfId="0" applyNumberFormat="1" applyFont="1" applyFill="1" applyBorder="1"/>
    <xf numFmtId="3" fontId="3" fillId="0" borderId="14" xfId="0" applyNumberFormat="1" applyFont="1" applyFill="1" applyBorder="1"/>
    <xf numFmtId="0" fontId="36" fillId="0" borderId="13" xfId="0" applyFont="1" applyFill="1" applyBorder="1" applyAlignment="1">
      <alignment horizontal="left" vertical="center" wrapText="1"/>
    </xf>
    <xf numFmtId="3" fontId="12" fillId="12" borderId="1" xfId="0" applyNumberFormat="1" applyFont="1" applyFill="1" applyBorder="1" applyAlignment="1">
      <alignment horizontal="right"/>
    </xf>
    <xf numFmtId="4" fontId="3" fillId="12" borderId="1" xfId="0" applyNumberFormat="1" applyFont="1" applyFill="1" applyBorder="1" applyAlignment="1">
      <alignment horizontal="right"/>
    </xf>
    <xf numFmtId="4" fontId="3" fillId="12" borderId="14" xfId="0" applyNumberFormat="1" applyFont="1" applyFill="1" applyBorder="1" applyAlignment="1">
      <alignment horizontal="right"/>
    </xf>
    <xf numFmtId="3" fontId="36" fillId="0" borderId="10" xfId="0" applyNumberFormat="1" applyFont="1" applyBorder="1" applyAlignment="1">
      <alignment horizontal="left" vertical="center" wrapText="1"/>
    </xf>
    <xf numFmtId="0" fontId="36" fillId="0" borderId="11" xfId="0" applyFont="1" applyBorder="1" applyAlignment="1">
      <alignment horizontal="left" vertical="center" wrapText="1"/>
    </xf>
    <xf numFmtId="0" fontId="2" fillId="0" borderId="3" xfId="0" applyFont="1" applyBorder="1"/>
    <xf numFmtId="10" fontId="12" fillId="12" borderId="6" xfId="0" applyNumberFormat="1" applyFont="1" applyFill="1" applyBorder="1" applyAlignment="1">
      <alignment horizontal="right"/>
    </xf>
    <xf numFmtId="3" fontId="3" fillId="0" borderId="3" xfId="0" applyNumberFormat="1" applyFont="1" applyBorder="1" applyAlignment="1">
      <alignment horizontal="right"/>
    </xf>
    <xf numFmtId="10" fontId="3" fillId="12" borderId="6" xfId="0" applyNumberFormat="1" applyFont="1" applyFill="1" applyBorder="1" applyAlignment="1">
      <alignment horizontal="right"/>
    </xf>
    <xf numFmtId="3" fontId="3" fillId="0" borderId="3" xfId="0" applyNumberFormat="1" applyFont="1" applyFill="1" applyBorder="1" applyAlignment="1">
      <alignment horizontal="right"/>
    </xf>
    <xf numFmtId="3" fontId="3" fillId="0" borderId="4" xfId="0" applyNumberFormat="1" applyFont="1" applyFill="1" applyBorder="1" applyAlignment="1">
      <alignment horizontal="right"/>
    </xf>
    <xf numFmtId="3" fontId="3" fillId="0" borderId="5" xfId="0" applyNumberFormat="1" applyFont="1" applyFill="1" applyBorder="1" applyAlignment="1">
      <alignment horizontal="right"/>
    </xf>
    <xf numFmtId="10" fontId="3" fillId="12" borderId="9" xfId="0" applyNumberFormat="1" applyFont="1" applyFill="1" applyBorder="1" applyAlignment="1">
      <alignment horizontal="right"/>
    </xf>
    <xf numFmtId="3" fontId="36" fillId="0" borderId="12" xfId="0" applyNumberFormat="1" applyFont="1" applyBorder="1" applyAlignment="1">
      <alignment horizontal="left" vertical="center" wrapText="1"/>
    </xf>
    <xf numFmtId="0" fontId="36" fillId="0" borderId="12" xfId="0" applyFont="1" applyBorder="1" applyAlignment="1">
      <alignment horizontal="left" vertical="center" wrapText="1"/>
    </xf>
    <xf numFmtId="2" fontId="12" fillId="12" borderId="6" xfId="0" applyNumberFormat="1" applyFont="1" applyFill="1" applyBorder="1" applyAlignment="1">
      <alignment horizontal="right"/>
    </xf>
    <xf numFmtId="2" fontId="3" fillId="12" borderId="6" xfId="0" applyNumberFormat="1" applyFont="1" applyFill="1" applyBorder="1" applyAlignment="1">
      <alignment horizontal="right"/>
    </xf>
    <xf numFmtId="9" fontId="3" fillId="0" borderId="5" xfId="0" applyNumberFormat="1" applyFont="1" applyFill="1" applyBorder="1" applyAlignment="1">
      <alignment horizontal="right"/>
    </xf>
    <xf numFmtId="2" fontId="3" fillId="12" borderId="9" xfId="0" applyNumberFormat="1" applyFont="1" applyFill="1" applyBorder="1" applyAlignment="1">
      <alignment horizontal="right"/>
    </xf>
    <xf numFmtId="0" fontId="36" fillId="0" borderId="10" xfId="0" applyFont="1" applyBorder="1" applyAlignment="1">
      <alignment horizontal="left" vertical="center" wrapText="1"/>
    </xf>
    <xf numFmtId="2" fontId="12" fillId="0" borderId="3" xfId="0" applyNumberFormat="1" applyFont="1" applyBorder="1" applyAlignment="1">
      <alignment horizontal="right"/>
    </xf>
    <xf numFmtId="2" fontId="12" fillId="7" borderId="6" xfId="0" applyNumberFormat="1" applyFont="1" applyFill="1" applyBorder="1" applyAlignment="1">
      <alignment horizontal="right"/>
    </xf>
    <xf numFmtId="2" fontId="3" fillId="0" borderId="3" xfId="0" applyNumberFormat="1" applyFont="1" applyBorder="1" applyAlignment="1">
      <alignment horizontal="right"/>
    </xf>
    <xf numFmtId="2" fontId="3" fillId="0" borderId="3" xfId="0" applyNumberFormat="1" applyFont="1" applyFill="1" applyBorder="1" applyAlignment="1">
      <alignment horizontal="right"/>
    </xf>
    <xf numFmtId="2" fontId="3" fillId="0" borderId="4" xfId="0" applyNumberFormat="1" applyFont="1" applyFill="1" applyBorder="1" applyAlignment="1">
      <alignment horizontal="right"/>
    </xf>
    <xf numFmtId="3" fontId="8" fillId="0" borderId="5" xfId="0" applyNumberFormat="1" applyFont="1" applyBorder="1" applyAlignment="1">
      <alignment horizontal="right"/>
    </xf>
    <xf numFmtId="0" fontId="34" fillId="0" borderId="13" xfId="0" applyFont="1" applyBorder="1" applyAlignment="1">
      <alignment horizontal="left" vertical="center" wrapText="1"/>
    </xf>
    <xf numFmtId="2" fontId="2" fillId="12" borderId="1" xfId="0" applyNumberFormat="1" applyFont="1" applyFill="1" applyBorder="1"/>
    <xf numFmtId="2" fontId="0" fillId="12" borderId="1" xfId="0" applyNumberFormat="1" applyFill="1" applyBorder="1"/>
    <xf numFmtId="2" fontId="0" fillId="12" borderId="14" xfId="0" applyNumberFormat="1" applyFill="1" applyBorder="1"/>
    <xf numFmtId="0" fontId="0" fillId="0" borderId="0" xfId="0" applyFont="1" applyAlignment="1">
      <alignment wrapText="1"/>
    </xf>
    <xf numFmtId="0" fontId="26" fillId="0" borderId="0" xfId="0" applyFont="1" applyAlignment="1">
      <alignment wrapText="1"/>
    </xf>
    <xf numFmtId="1" fontId="14" fillId="0" borderId="0" xfId="0" applyNumberFormat="1" applyFont="1" applyFill="1" applyBorder="1" applyAlignment="1">
      <alignment horizontal="right"/>
    </xf>
    <xf numFmtId="1" fontId="8" fillId="0" borderId="0" xfId="0" applyNumberFormat="1" applyFont="1" applyBorder="1" applyAlignment="1">
      <alignment horizontal="right"/>
    </xf>
    <xf numFmtId="0" fontId="9" fillId="0" borderId="0" xfId="0" applyFont="1" applyBorder="1" applyAlignment="1">
      <alignment horizontal="left"/>
    </xf>
    <xf numFmtId="3" fontId="9" fillId="0" borderId="0" xfId="0" applyNumberFormat="1" applyFont="1" applyFill="1" applyBorder="1" applyAlignment="1">
      <alignment horizontal="left"/>
    </xf>
    <xf numFmtId="0" fontId="49" fillId="0" borderId="15" xfId="9"/>
    <xf numFmtId="0" fontId="3" fillId="0" borderId="5" xfId="0" applyFont="1" applyFill="1" applyBorder="1" applyAlignment="1">
      <alignment horizontal="right"/>
    </xf>
    <xf numFmtId="2" fontId="0" fillId="12" borderId="1" xfId="0" applyNumberFormat="1" applyFont="1" applyFill="1" applyBorder="1"/>
    <xf numFmtId="0" fontId="50" fillId="0" borderId="0" xfId="0" applyFont="1"/>
    <xf numFmtId="0" fontId="26" fillId="0" borderId="0" xfId="0" applyFont="1"/>
    <xf numFmtId="0" fontId="42" fillId="0" borderId="0" xfId="0" applyFont="1" applyFill="1"/>
    <xf numFmtId="0" fontId="51" fillId="14" borderId="17" xfId="0" applyFont="1" applyFill="1" applyBorder="1" applyAlignment="1">
      <alignment horizontal="center" vertical="center" wrapText="1"/>
    </xf>
    <xf numFmtId="0" fontId="50" fillId="0" borderId="18" xfId="0" applyFont="1" applyBorder="1"/>
    <xf numFmtId="166" fontId="50" fillId="0" borderId="18" xfId="0" applyNumberFormat="1" applyFont="1" applyBorder="1"/>
    <xf numFmtId="0" fontId="52" fillId="0" borderId="18" xfId="0" applyFont="1" applyBorder="1"/>
    <xf numFmtId="166" fontId="52" fillId="0" borderId="18" xfId="0" applyNumberFormat="1" applyFont="1" applyBorder="1"/>
    <xf numFmtId="166" fontId="52" fillId="0" borderId="0" xfId="0" applyNumberFormat="1" applyFont="1" applyBorder="1"/>
    <xf numFmtId="166" fontId="52" fillId="0" borderId="0" xfId="0" applyNumberFormat="1" applyFont="1"/>
    <xf numFmtId="0" fontId="52" fillId="0" borderId="19" xfId="0" applyFont="1" applyBorder="1"/>
    <xf numFmtId="166" fontId="52" fillId="0" borderId="19" xfId="0" applyNumberFormat="1" applyFont="1" applyBorder="1"/>
    <xf numFmtId="0" fontId="51" fillId="14" borderId="16" xfId="0" applyFont="1" applyFill="1" applyBorder="1" applyAlignment="1">
      <alignment horizontal="center" vertical="center" wrapText="1"/>
    </xf>
    <xf numFmtId="0" fontId="51" fillId="14" borderId="18" xfId="0" applyFont="1" applyFill="1" applyBorder="1" applyAlignment="1">
      <alignment horizontal="center" vertical="center" wrapText="1"/>
    </xf>
    <xf numFmtId="0" fontId="50" fillId="0" borderId="16" xfId="0" applyFont="1" applyBorder="1"/>
    <xf numFmtId="0" fontId="52" fillId="0" borderId="16" xfId="0" applyFont="1" applyBorder="1"/>
    <xf numFmtId="166" fontId="50" fillId="13" borderId="18" xfId="0" applyNumberFormat="1" applyFont="1" applyFill="1" applyBorder="1"/>
    <xf numFmtId="166" fontId="52" fillId="13" borderId="0" xfId="0" applyNumberFormat="1" applyFont="1" applyFill="1"/>
    <xf numFmtId="181" fontId="52" fillId="0" borderId="0" xfId="3" applyNumberFormat="1" applyFont="1"/>
    <xf numFmtId="0" fontId="52" fillId="0" borderId="0" xfId="0" applyFont="1" applyAlignment="1">
      <alignment horizontal="center" vertical="center" wrapText="1"/>
    </xf>
    <xf numFmtId="0" fontId="0" fillId="0" borderId="0" xfId="0" applyAlignment="1">
      <alignment vertical="center" wrapText="1"/>
    </xf>
    <xf numFmtId="166" fontId="50" fillId="0" borderId="0" xfId="0" applyNumberFormat="1" applyFont="1"/>
    <xf numFmtId="166" fontId="50" fillId="15" borderId="0" xfId="0" applyNumberFormat="1" applyFont="1" applyFill="1"/>
    <xf numFmtId="166" fontId="52" fillId="15" borderId="0" xfId="0" applyNumberFormat="1" applyFont="1" applyFill="1"/>
    <xf numFmtId="0" fontId="52" fillId="0" borderId="0" xfId="0" applyFont="1"/>
    <xf numFmtId="0" fontId="53" fillId="0" borderId="0" xfId="10" applyFont="1"/>
    <xf numFmtId="0" fontId="52" fillId="0" borderId="0" xfId="0" applyFont="1" applyAlignment="1">
      <alignment horizontal="center" vertical="center"/>
    </xf>
    <xf numFmtId="166" fontId="52" fillId="0" borderId="16" xfId="0" applyNumberFormat="1" applyFont="1" applyBorder="1"/>
    <xf numFmtId="166" fontId="52" fillId="13" borderId="18" xfId="0" applyNumberFormat="1" applyFont="1" applyFill="1" applyBorder="1"/>
    <xf numFmtId="0" fontId="54" fillId="0" borderId="0" xfId="0" applyFont="1" applyAlignment="1">
      <alignment wrapText="1"/>
    </xf>
    <xf numFmtId="166" fontId="55" fillId="16" borderId="0" xfId="0" applyNumberFormat="1" applyFont="1" applyFill="1"/>
    <xf numFmtId="166" fontId="56" fillId="16" borderId="0" xfId="0" applyNumberFormat="1" applyFont="1" applyFill="1"/>
    <xf numFmtId="166" fontId="50" fillId="0" borderId="0" xfId="0" applyNumberFormat="1" applyFont="1" applyFill="1"/>
    <xf numFmtId="166" fontId="52" fillId="0" borderId="0" xfId="0" applyNumberFormat="1" applyFont="1" applyFill="1"/>
    <xf numFmtId="166" fontId="36" fillId="16" borderId="0" xfId="0" applyNumberFormat="1" applyFont="1" applyFill="1" applyBorder="1" applyAlignment="1">
      <alignment horizontal="left" vertical="center" wrapText="1"/>
    </xf>
    <xf numFmtId="166" fontId="9" fillId="15" borderId="0" xfId="0" applyNumberFormat="1" applyFont="1" applyFill="1" applyBorder="1"/>
    <xf numFmtId="166" fontId="8" fillId="15" borderId="0" xfId="0" applyNumberFormat="1" applyFont="1" applyFill="1" applyBorder="1" applyAlignment="1">
      <alignment horizontal="right"/>
    </xf>
    <xf numFmtId="166" fontId="8" fillId="15" borderId="0" xfId="0" applyNumberFormat="1" applyFont="1" applyFill="1" applyBorder="1"/>
    <xf numFmtId="0" fontId="51" fillId="14" borderId="20" xfId="0" applyFont="1" applyFill="1" applyBorder="1" applyAlignment="1">
      <alignment horizontal="center" vertical="center" wrapText="1"/>
    </xf>
    <xf numFmtId="0" fontId="51" fillId="14" borderId="19" xfId="0" applyFont="1" applyFill="1" applyBorder="1" applyAlignment="1">
      <alignment horizontal="center" vertical="center" wrapText="1"/>
    </xf>
    <xf numFmtId="0" fontId="51" fillId="14" borderId="19" xfId="0" applyFont="1" applyFill="1" applyBorder="1" applyAlignment="1">
      <alignment horizontal="center" vertical="center"/>
    </xf>
    <xf numFmtId="166" fontId="50" fillId="0" borderId="20" xfId="0" applyNumberFormat="1" applyFont="1" applyBorder="1"/>
    <xf numFmtId="166" fontId="50" fillId="13" borderId="20" xfId="0" applyNumberFormat="1" applyFont="1" applyFill="1" applyBorder="1"/>
    <xf numFmtId="166" fontId="52" fillId="0" borderId="20" xfId="0" applyNumberFormat="1" applyFont="1" applyBorder="1"/>
    <xf numFmtId="166" fontId="52" fillId="13" borderId="19" xfId="0" applyNumberFormat="1" applyFont="1" applyFill="1" applyBorder="1"/>
    <xf numFmtId="0" fontId="52" fillId="0" borderId="0" xfId="0" applyFont="1" applyFill="1" applyBorder="1"/>
    <xf numFmtId="0" fontId="50" fillId="0" borderId="0" xfId="0" applyFont="1" applyFill="1" applyBorder="1"/>
    <xf numFmtId="0" fontId="51" fillId="0" borderId="0" xfId="0" applyFont="1" applyFill="1" applyBorder="1" applyAlignment="1">
      <alignment horizontal="center" vertical="center" wrapText="1"/>
    </xf>
    <xf numFmtId="166" fontId="50" fillId="0" borderId="0" xfId="0" applyNumberFormat="1" applyFont="1" applyFill="1" applyBorder="1"/>
    <xf numFmtId="166" fontId="52" fillId="0" borderId="0" xfId="0" applyNumberFormat="1" applyFont="1" applyFill="1" applyBorder="1"/>
    <xf numFmtId="166" fontId="50" fillId="0" borderId="0" xfId="0" applyNumberFormat="1" applyFont="1" applyBorder="1"/>
    <xf numFmtId="0" fontId="51" fillId="14" borderId="10" xfId="0" applyFont="1" applyFill="1" applyBorder="1" applyAlignment="1">
      <alignment horizontal="center" vertical="center" wrapText="1"/>
    </xf>
    <xf numFmtId="0" fontId="51" fillId="14" borderId="12" xfId="0" applyFont="1" applyFill="1" applyBorder="1" applyAlignment="1">
      <alignment horizontal="center" vertical="center" wrapText="1"/>
    </xf>
    <xf numFmtId="0" fontId="51" fillId="14" borderId="11" xfId="0" applyFont="1" applyFill="1" applyBorder="1" applyAlignment="1">
      <alignment horizontal="center" vertical="center" wrapText="1"/>
    </xf>
    <xf numFmtId="166" fontId="50" fillId="0" borderId="3" xfId="0" applyNumberFormat="1" applyFont="1" applyBorder="1"/>
    <xf numFmtId="166" fontId="52" fillId="0" borderId="3" xfId="0" applyNumberFormat="1" applyFont="1" applyBorder="1"/>
    <xf numFmtId="166" fontId="52" fillId="0" borderId="4" xfId="0" applyNumberFormat="1" applyFont="1" applyBorder="1"/>
    <xf numFmtId="166" fontId="52" fillId="0" borderId="5" xfId="0" applyNumberFormat="1" applyFont="1" applyBorder="1"/>
    <xf numFmtId="4" fontId="8" fillId="0" borderId="0" xfId="0" applyNumberFormat="1" applyFont="1" applyBorder="1"/>
    <xf numFmtId="166" fontId="50" fillId="6" borderId="6" xfId="0" applyNumberFormat="1" applyFont="1" applyFill="1" applyBorder="1"/>
    <xf numFmtId="166" fontId="52" fillId="6" borderId="6" xfId="0" applyNumberFormat="1" applyFont="1" applyFill="1" applyBorder="1"/>
    <xf numFmtId="166" fontId="52" fillId="6" borderId="9" xfId="0" applyNumberFormat="1" applyFont="1" applyFill="1" applyBorder="1"/>
    <xf numFmtId="0" fontId="51" fillId="14" borderId="13" xfId="0" applyFont="1" applyFill="1" applyBorder="1" applyAlignment="1">
      <alignment horizontal="center" vertical="center" wrapText="1"/>
    </xf>
    <xf numFmtId="166" fontId="50" fillId="0" borderId="1" xfId="0" applyNumberFormat="1" applyFont="1" applyBorder="1"/>
    <xf numFmtId="166" fontId="52" fillId="0" borderId="1" xfId="0" applyNumberFormat="1" applyFont="1" applyBorder="1"/>
    <xf numFmtId="166" fontId="52" fillId="0" borderId="14" xfId="0" applyNumberFormat="1" applyFont="1" applyBorder="1"/>
  </cellXfs>
  <cellStyles count="11">
    <cellStyle name="Erotin 2" xfId="1"/>
    <cellStyle name="Normaali" xfId="0" builtinId="0"/>
    <cellStyle name="Normaali 2" xfId="5"/>
    <cellStyle name="Normaali 3" xfId="8"/>
    <cellStyle name="Otsikko" xfId="2" builtinId="15"/>
    <cellStyle name="Otsikko 3" xfId="9" builtinId="18"/>
    <cellStyle name="Otsikko 4" xfId="10" builtinId="19"/>
    <cellStyle name="Pilkku" xfId="3" builtinId="3"/>
    <cellStyle name="Pilkku 2" xfId="6"/>
    <cellStyle name="Prosenttia" xfId="4" builtinId="5"/>
    <cellStyle name="Prosenttia 2" xfId="7"/>
  </cellStyles>
  <dxfs count="212">
    <dxf>
      <font>
        <b val="0"/>
        <i val="0"/>
        <strike val="0"/>
        <condense val="0"/>
        <extend val="0"/>
        <outline val="0"/>
        <shadow val="0"/>
        <u val="none"/>
        <vertAlign val="baseline"/>
        <sz val="10"/>
        <color theme="1"/>
        <name val="Arial"/>
        <scheme val="minor"/>
      </font>
      <numFmt numFmtId="166" formatCode="#,##0_ ;[Red]\-#,##0\ "/>
      <fill>
        <patternFill patternType="solid">
          <fgColor indexed="64"/>
          <bgColor theme="4" tint="0.79998168889431442"/>
        </patternFill>
      </fill>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Arial"/>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minor"/>
      </font>
      <numFmt numFmtId="166" formatCode="#,##0_ ;[Red]\-#,##0\ "/>
      <fill>
        <patternFill patternType="none">
          <fgColor indexed="64"/>
          <bgColor auto="1"/>
        </patternFill>
      </fill>
    </dxf>
    <dxf>
      <font>
        <b val="0"/>
        <i val="0"/>
        <strike val="0"/>
        <condense val="0"/>
        <extend val="0"/>
        <outline val="0"/>
        <shadow val="0"/>
        <u val="none"/>
        <vertAlign val="baseline"/>
        <sz val="10"/>
        <color auto="1"/>
        <name val="Arial"/>
        <scheme val="minor"/>
      </font>
      <numFmt numFmtId="166" formatCode="#,##0_ ;[Red]\-#,##0\ "/>
      <fill>
        <patternFill patternType="solid">
          <fgColor indexed="64"/>
          <bgColor theme="7" tint="0.39997558519241921"/>
        </patternFill>
      </fill>
    </dxf>
    <dxf>
      <font>
        <b val="0"/>
        <i val="0"/>
        <strike val="0"/>
        <condense val="0"/>
        <extend val="0"/>
        <outline val="0"/>
        <shadow val="0"/>
        <u val="none"/>
        <vertAlign val="baseline"/>
        <sz val="10"/>
        <color theme="1"/>
        <name val="Arial"/>
        <scheme val="minor"/>
      </font>
      <numFmt numFmtId="166" formatCode="#,##0_ ;[Red]\-#,##0\ "/>
      <fill>
        <patternFill patternType="solid">
          <fgColor indexed="64"/>
          <bgColor theme="7" tint="0.79998168889431442"/>
        </patternFill>
      </fill>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fill>
        <patternFill patternType="solid">
          <fgColor indexed="64"/>
          <bgColor theme="7" tint="0.79998168889431442"/>
        </patternFill>
      </fill>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fill>
        <patternFill patternType="solid">
          <fgColor indexed="64"/>
          <bgColor theme="7" tint="0.79998168889431442"/>
        </patternFill>
      </fill>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numFmt numFmtId="166" formatCode="#,##0_ ;[Red]\-#,##0\ "/>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alignment horizontal="center" vertical="center" textRotation="0" wrapText="1" indent="0" justifyLastLine="0" shrinkToFit="0" readingOrder="0"/>
    </dxf>
    <dxf>
      <font>
        <b/>
        <i val="0"/>
        <strike val="0"/>
        <condense val="0"/>
        <extend val="0"/>
        <outline val="0"/>
        <shadow val="0"/>
        <u val="none"/>
        <vertAlign val="baseline"/>
        <sz val="10"/>
        <color theme="1"/>
        <name val="Arial"/>
        <scheme val="minor"/>
      </font>
    </dxf>
    <dxf>
      <font>
        <b/>
        <i val="0"/>
        <strike val="0"/>
        <condense val="0"/>
        <extend val="0"/>
        <outline val="0"/>
        <shadow val="0"/>
        <u val="none"/>
        <vertAlign val="baseline"/>
        <sz val="10"/>
        <color theme="1"/>
        <name val="Arial"/>
        <scheme val="minor"/>
      </font>
    </dxf>
    <dxf>
      <font>
        <b/>
        <i val="0"/>
        <strike val="0"/>
        <condense val="0"/>
        <extend val="0"/>
        <outline val="0"/>
        <shadow val="0"/>
        <u val="none"/>
        <vertAlign val="baseline"/>
        <sz val="10"/>
        <color theme="1"/>
        <name val="Arial"/>
        <scheme val="minor"/>
      </font>
    </dxf>
    <dxf>
      <font>
        <b/>
        <i val="0"/>
        <strike val="0"/>
        <condense val="0"/>
        <extend val="0"/>
        <outline val="0"/>
        <shadow val="0"/>
        <u val="none"/>
        <vertAlign val="baseline"/>
        <sz val="10"/>
        <color theme="1"/>
        <name val="Arial"/>
        <scheme val="minor"/>
      </font>
    </dxf>
    <dxf>
      <font>
        <strike val="0"/>
        <outline val="0"/>
        <shadow val="0"/>
        <u val="none"/>
        <vertAlign val="baseline"/>
        <sz val="10"/>
        <name val="Arial"/>
      </font>
      <numFmt numFmtId="166" formatCode="#,##0_ ;[Red]\-#,##0\ "/>
    </dxf>
    <dxf>
      <font>
        <strike val="0"/>
        <outline val="0"/>
        <shadow val="0"/>
        <u val="none"/>
        <vertAlign val="baseline"/>
        <sz val="10"/>
        <name val="Arial"/>
      </font>
      <numFmt numFmtId="166" formatCode="#,##0_ ;[Red]\-#,##0\ "/>
    </dxf>
    <dxf>
      <font>
        <strike val="0"/>
        <outline val="0"/>
        <shadow val="0"/>
        <u val="none"/>
        <vertAlign val="baseline"/>
        <sz val="10"/>
        <name val="Arial"/>
      </font>
      <numFmt numFmtId="166" formatCode="#,##0_ ;[Red]\-#,##0\ "/>
    </dxf>
    <dxf>
      <font>
        <strike val="0"/>
        <outline val="0"/>
        <shadow val="0"/>
        <u val="none"/>
        <vertAlign val="baseline"/>
        <sz val="10"/>
        <name val="Arial"/>
      </font>
    </dxf>
    <dxf>
      <font>
        <strike val="0"/>
        <outline val="0"/>
        <shadow val="0"/>
        <u val="none"/>
        <vertAlign val="baseline"/>
        <sz val="10"/>
        <name val="Arial"/>
      </font>
    </dxf>
    <dxf>
      <font>
        <strike val="0"/>
        <outline val="0"/>
        <shadow val="0"/>
        <u val="none"/>
        <vertAlign val="baseline"/>
        <sz val="10"/>
        <name val="Arial"/>
      </font>
    </dxf>
    <dxf>
      <font>
        <strike val="0"/>
        <outline val="0"/>
        <shadow val="0"/>
        <u val="none"/>
        <vertAlign val="baseline"/>
        <sz val="10"/>
        <color theme="1"/>
        <name val="Arial"/>
        <scheme val="minor"/>
      </font>
      <alignment horizontal="center" vertical="center" textRotation="0" indent="0" justifyLastLine="0" shrinkToFit="0" readingOrder="0"/>
    </dxf>
    <dxf>
      <font>
        <b/>
        <strike val="0"/>
        <outline val="0"/>
        <shadow val="0"/>
        <u val="none"/>
        <vertAlign val="baseline"/>
        <sz val="1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border outline="0">
        <right style="thin">
          <color indexed="64"/>
        </right>
      </border>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indexed="8"/>
        <name val="Arial"/>
        <scheme val="none"/>
      </font>
      <numFmt numFmtId="3" formatCode="#,##0"/>
      <fill>
        <patternFill patternType="none">
          <fgColor indexed="64"/>
          <bgColor indexed="65"/>
        </patternFill>
      </fill>
      <alignment horizontal="general" vertical="bottom" textRotation="0" wrapText="0" indent="0" justifyLastLine="0" shrinkToFit="0" readingOrder="0"/>
    </dxf>
    <dxf>
      <border outline="0">
        <right style="thin">
          <color indexed="64"/>
        </right>
      </border>
    </dxf>
    <dxf>
      <font>
        <strike val="0"/>
        <outline val="0"/>
        <shadow val="0"/>
        <u val="none"/>
        <vertAlign val="baseline"/>
        <sz val="11"/>
        <name val="Arial"/>
        <scheme val="none"/>
      </font>
    </dxf>
    <dxf>
      <font>
        <strike val="0"/>
        <outline val="0"/>
        <shadow val="0"/>
        <u val="none"/>
        <vertAlign val="baseline"/>
        <sz val="11"/>
        <color theme="0"/>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alignment horizontal="right"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protection locked="0" hidden="0"/>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border outline="0">
        <right style="thin">
          <color indexed="64"/>
        </right>
      </border>
    </dxf>
    <dxf>
      <font>
        <strike val="0"/>
        <outline val="0"/>
        <shadow val="0"/>
        <u val="none"/>
        <vertAlign val="baseline"/>
        <sz val="11"/>
        <color theme="0"/>
        <name val="Arial"/>
      </font>
      <alignment horizontal="general"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5" tint="0.79998168889431442"/>
        </patternFill>
      </fill>
      <border diagonalUp="0" diagonalDown="0" outline="0">
        <left/>
        <right style="thin">
          <color indexed="64"/>
        </right>
        <top/>
        <bottom/>
      </border>
    </dxf>
    <dxf>
      <font>
        <b val="0"/>
        <i val="0"/>
        <strike val="0"/>
        <condense val="0"/>
        <extend val="0"/>
        <outline val="0"/>
        <shadow val="0"/>
        <u val="none"/>
        <vertAlign val="baseline"/>
        <sz val="11"/>
        <color auto="1"/>
        <name val="Arial"/>
        <scheme val="none"/>
      </font>
      <numFmt numFmtId="166" formatCode="#,##0_ ;[Red]\-#,##0\ "/>
      <fill>
        <patternFill patternType="solid">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solid">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theme="0"/>
        <name val="Arial"/>
        <scheme val="none"/>
      </font>
      <numFmt numFmtId="166" formatCode="#,##0_ ;[Red]\-#,##0\ "/>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border outline="0">
        <left style="thin">
          <color indexed="64"/>
        </left>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4" formatCode="#,##0.00"/>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outline="0">
        <right style="thin">
          <color indexed="64"/>
        </right>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4" formatCode="0.00\ %"/>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78" formatCode="#,##0.0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strike val="0"/>
        <outline val="0"/>
        <shadow val="0"/>
        <u val="none"/>
        <vertAlign val="baseline"/>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border outline="0">
        <left style="thin">
          <color indexed="64"/>
        </left>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0"/>
        <name val="Arial"/>
        <scheme val="none"/>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4" formatCode="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76" formatCode="0.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77"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b val="0"/>
        <i val="0"/>
        <strike val="0"/>
        <condense val="0"/>
        <extend val="0"/>
        <outline val="0"/>
        <shadow val="0"/>
        <u val="none"/>
        <vertAlign val="baseline"/>
        <sz val="11"/>
        <color theme="1"/>
        <name val="Arial"/>
        <scheme val="none"/>
      </font>
      <fill>
        <patternFill patternType="none">
          <fgColor indexed="64"/>
          <bgColor indexed="65"/>
        </patternFill>
      </fill>
    </dxf>
    <dxf>
      <font>
        <strike val="0"/>
        <outline val="0"/>
        <shadow val="0"/>
        <u val="none"/>
        <vertAlign val="baseline"/>
        <sz val="11"/>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border outline="0">
        <left style="thin">
          <color indexed="64"/>
        </left>
        <right style="thin">
          <color indexed="64"/>
        </right>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style="thin">
          <color auto="1"/>
        </top>
        <bottom style="thin">
          <color auto="1"/>
        </bottom>
        <vertical/>
        <horizontal style="thin">
          <color auto="1"/>
        </horizontal>
      </border>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auto="1"/>
        <name val="Arial"/>
        <scheme val="none"/>
      </font>
      <numFmt numFmtId="166" formatCode="#,##0_ ;[Red]\-#,##0\ "/>
      <fill>
        <patternFill patternType="solid">
          <fgColor indexed="64"/>
          <bgColor theme="8"/>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4"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1" formatCode="0"/>
    </dxf>
    <dxf>
      <font>
        <strike val="0"/>
        <outline val="0"/>
        <shadow val="0"/>
        <u val="none"/>
        <vertAlign val="baseline"/>
        <color theme="0"/>
        <name val="Arial"/>
      </font>
      <fill>
        <patternFill patternType="none">
          <fgColor indexed="64"/>
          <bgColor auto="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685799</xdr:colOff>
      <xdr:row>5</xdr:row>
      <xdr:rowOff>123824</xdr:rowOff>
    </xdr:from>
    <xdr:to>
      <xdr:col>34</xdr:col>
      <xdr:colOff>19050</xdr:colOff>
      <xdr:row>59</xdr:row>
      <xdr:rowOff>66675</xdr:rowOff>
    </xdr:to>
    <xdr:sp macro="" textlink="">
      <xdr:nvSpPr>
        <xdr:cNvPr id="2" name="Tekstiruutu 1"/>
        <xdr:cNvSpPr txBox="1"/>
      </xdr:nvSpPr>
      <xdr:spPr>
        <a:xfrm>
          <a:off x="19745324" y="1590674"/>
          <a:ext cx="8248651" cy="9725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solidFill>
                <a:schemeClr val="dk1"/>
              </a:solidFill>
              <a:effectLst/>
              <a:latin typeface="+mn-lt"/>
              <a:ea typeface="+mn-ea"/>
              <a:cs typeface="+mn-cs"/>
            </a:rPr>
            <a:t>Kustannusten laskentaperusteet kyseisessä laskelmassa:</a:t>
          </a:r>
        </a:p>
        <a:p>
          <a:endParaRPr lang="fi-FI">
            <a:effectLst/>
          </a:endParaRPr>
        </a:p>
        <a:p>
          <a:r>
            <a:rPr lang="fi-FI" sz="1100" b="1">
              <a:solidFill>
                <a:schemeClr val="dk1"/>
              </a:solidFill>
              <a:effectLst/>
              <a:latin typeface="+mn-lt"/>
              <a:ea typeface="+mn-ea"/>
              <a:cs typeface="+mn-cs"/>
            </a:rPr>
            <a:t>Kotoutumiskoulutus:</a:t>
          </a:r>
          <a:endParaRPr lang="fi-FI">
            <a:effectLst/>
          </a:endParaRPr>
        </a:p>
        <a:p>
          <a:r>
            <a:rPr lang="fi-FI" sz="1100">
              <a:solidFill>
                <a:schemeClr val="dk1"/>
              </a:solidFill>
              <a:effectLst/>
              <a:latin typeface="+mn-lt"/>
              <a:ea typeface="+mn-ea"/>
              <a:cs typeface="+mn-cs"/>
            </a:rPr>
            <a:t>Kotoutumiskoulutuksista</a:t>
          </a:r>
          <a:r>
            <a:rPr lang="fi-FI" sz="1100" baseline="0">
              <a:solidFill>
                <a:schemeClr val="dk1"/>
              </a:solidFill>
              <a:effectLst/>
              <a:latin typeface="+mn-lt"/>
              <a:ea typeface="+mn-ea"/>
              <a:cs typeface="+mn-cs"/>
            </a:rPr>
            <a:t> ei ole käytettävissä kuntakohtaista tietoa palvelun kustannuksista, vaan kirjanpidossa työvoimakoulutusten kustannukset kirjataan </a:t>
          </a:r>
          <a:r>
            <a:rPr lang="fi-FI" sz="1100">
              <a:solidFill>
                <a:schemeClr val="dk1"/>
              </a:solidFill>
              <a:effectLst/>
              <a:latin typeface="+mn-lt"/>
              <a:ea typeface="+mn-ea"/>
              <a:cs typeface="+mn-cs"/>
            </a:rPr>
            <a:t>ELY-keskusalueen tasolla. Työnvälitystilastosta on poimittavissa työvoimakoulutuksiin osallistuneet</a:t>
          </a:r>
          <a:r>
            <a:rPr lang="fi-FI" sz="1100" baseline="0">
              <a:solidFill>
                <a:schemeClr val="dk1"/>
              </a:solidFill>
              <a:effectLst/>
              <a:latin typeface="+mn-lt"/>
              <a:ea typeface="+mn-ea"/>
              <a:cs typeface="+mn-cs"/>
            </a:rPr>
            <a:t> henkilöt ja näiden suorittamat oppilastyöpäivät. Koska tieto on sidottu henkilöasiakkaaseen, on tilastosta saatavilla tieto oppilastyöpäivien jakaumasta kunnittain perustuen asiakastietojärjestelmään tallennettuun asuinkuntaan. Tiedot oppilastyöpäivistä kunnittain vuodelta 2022 on poimittu t</a:t>
          </a:r>
          <a:r>
            <a:rPr lang="fi-FI" sz="1100">
              <a:solidFill>
                <a:schemeClr val="dk1"/>
              </a:solidFill>
              <a:effectLst/>
              <a:latin typeface="+mn-lt"/>
              <a:ea typeface="+mn-ea"/>
              <a:cs typeface="+mn-cs"/>
            </a:rPr>
            <a:t>yönvälitystilaston taulusta 3510. Poiminta on rajattu koskemaan niin sanottua normaalikoulutusta ammattikoodilla X6</a:t>
          </a:r>
          <a:r>
            <a:rPr lang="fi-FI" sz="1100" baseline="0">
              <a:solidFill>
                <a:schemeClr val="dk1"/>
              </a:solidFill>
              <a:effectLst/>
              <a:latin typeface="+mn-lt"/>
              <a:ea typeface="+mn-ea"/>
              <a:cs typeface="+mn-cs"/>
            </a:rPr>
            <a:t>, joka koskee kunnille siirtyvän rahoituksen piirissä olevia kotoutumiskoulutuksia. ELY-keskusalueelle kirjatut toteutuneet vuoden 2022 kustannukset on jaettu oppilastyöpäivien suhteessa ELY-keskusalueen sisällä. Näin ollen ELY-keskusalueen sisällä on oletettu niin sanotusti sama yksikköhinta oppilastyöpäivälle, mutta ELY-keskusalueiden välillä hinta vaihtelee. </a:t>
          </a:r>
          <a:r>
            <a:rPr lang="fi-FI" sz="1100">
              <a:solidFill>
                <a:schemeClr val="dk1"/>
              </a:solidFill>
              <a:effectLst/>
              <a:latin typeface="+mn-lt"/>
              <a:ea typeface="+mn-ea"/>
              <a:cs typeface="+mn-cs"/>
            </a:rPr>
            <a:t>Lopuksi laskelmassa on erotettu laskennallisesti muiden kuin pakolaisten osuus kotoutumiskoulutuksista, koska pakolaisille tarjottavaan kotoutumiskoulutukseen rahoitus kohdennetaan erikseen. Laskelmassa</a:t>
          </a:r>
          <a:r>
            <a:rPr lang="fi-FI" sz="1100" baseline="0">
              <a:solidFill>
                <a:schemeClr val="dk1"/>
              </a:solidFill>
              <a:effectLst/>
              <a:latin typeface="+mn-lt"/>
              <a:ea typeface="+mn-ea"/>
              <a:cs typeface="+mn-cs"/>
            </a:rPr>
            <a:t> on o</a:t>
          </a:r>
          <a:r>
            <a:rPr lang="fi-FI" sz="1100">
              <a:solidFill>
                <a:schemeClr val="dk1"/>
              </a:solidFill>
              <a:effectLst/>
              <a:latin typeface="+mn-lt"/>
              <a:ea typeface="+mn-ea"/>
              <a:cs typeface="+mn-cs"/>
            </a:rPr>
            <a:t>letettu, että kaikissa kunnissa muiden kuin pakolaisten osuus on 60 %.</a:t>
          </a:r>
        </a:p>
        <a:p>
          <a:endParaRPr lang="fi-FI">
            <a:effectLst/>
          </a:endParaRPr>
        </a:p>
        <a:p>
          <a:r>
            <a:rPr lang="fi-FI" sz="1100" b="1">
              <a:solidFill>
                <a:schemeClr val="dk1"/>
              </a:solidFill>
              <a:effectLst/>
              <a:latin typeface="+mn-lt"/>
              <a:ea typeface="+mn-ea"/>
              <a:cs typeface="+mn-cs"/>
            </a:rPr>
            <a:t>Muu työvoimakoulutus:</a:t>
          </a:r>
          <a:endParaRPr lang="fi-FI">
            <a:effectLst/>
          </a:endParaRPr>
        </a:p>
        <a:p>
          <a:r>
            <a:rPr lang="fi-FI" sz="1100">
              <a:solidFill>
                <a:schemeClr val="dk1"/>
              </a:solidFill>
              <a:effectLst/>
              <a:latin typeface="+mn-lt"/>
              <a:ea typeface="+mn-ea"/>
              <a:cs typeface="+mn-cs"/>
            </a:rPr>
            <a:t>Laskelma on toteutettu samoin kuin kotoutumiskoulutusten</a:t>
          </a:r>
          <a:r>
            <a:rPr lang="fi-FI" sz="1100" baseline="0">
              <a:solidFill>
                <a:schemeClr val="dk1"/>
              </a:solidFill>
              <a:effectLst/>
              <a:latin typeface="+mn-lt"/>
              <a:ea typeface="+mn-ea"/>
              <a:cs typeface="+mn-cs"/>
            </a:rPr>
            <a:t> laskelma sillä erotuksella, että työnvälitystilastosta on poimittu kaikki normaalikoulutukseen kohdistuneet oppilastyöpäivät ja vähennetty tästä summasta ammattikoodin X6 oppilastyöpäivät. Lisäksi ELY-keskuskohtaiset toteutuneet kustannukset on katsottu kirjanpidosta muusta työvoimakoulutuksesta kuin kotoutumiskoulutuksesta.</a:t>
          </a:r>
        </a:p>
        <a:p>
          <a:endParaRPr lang="fi-FI">
            <a:effectLst/>
          </a:endParaRPr>
        </a:p>
        <a:p>
          <a:r>
            <a:rPr lang="fi-FI" sz="1100" b="1">
              <a:solidFill>
                <a:schemeClr val="dk1"/>
              </a:solidFill>
              <a:effectLst/>
              <a:latin typeface="+mn-lt"/>
              <a:ea typeface="+mn-ea"/>
              <a:cs typeface="+mn-cs"/>
            </a:rPr>
            <a:t>Valmennukset:</a:t>
          </a:r>
          <a:endParaRPr lang="fi-FI">
            <a:effectLst/>
          </a:endParaRPr>
        </a:p>
        <a:p>
          <a:r>
            <a:rPr lang="fi-FI" sz="1100">
              <a:solidFill>
                <a:schemeClr val="dk1"/>
              </a:solidFill>
              <a:effectLst/>
              <a:latin typeface="+mn-lt"/>
              <a:ea typeface="+mn-ea"/>
              <a:cs typeface="+mn-cs"/>
            </a:rPr>
            <a:t>Valmennuksista ei ole käytettävissä kuntakohtaista tietoa palvelun kustannuksista, vaan kirjanpidossa valmennusten kustannukset kirjataan ELY-keskusalueen tasolla. Työnvälitystilastosta ei ole poimittavissa valmennusten kestoa päivätasolla, vaan parhaiten keskimääräinen valmennuksissa olleiden määrä voidaan arvioida laskemalla</a:t>
          </a:r>
          <a:r>
            <a:rPr lang="fi-FI" sz="1100" baseline="0">
              <a:solidFill>
                <a:schemeClr val="dk1"/>
              </a:solidFill>
              <a:effectLst/>
              <a:latin typeface="+mn-lt"/>
              <a:ea typeface="+mn-ea"/>
              <a:cs typeface="+mn-cs"/>
            </a:rPr>
            <a:t> valmennuksessa olleiden määrä keskimäärin vuoden aikana muodostamalla keskiarvo laskentapäivänä kuukauden lopussa valmennuksessa olleiden määrästä. Tieto on poimittu työnvälitystilastosta taulusta 3912 kunnittain. ELY-keskusalueelle kirjatut toteutuneet vuoden 2022 kustannukset on jaettu edellä kuvatun vuoden 2022 keskiarvon suhteessa ELY-keskusalueen sisällä. Näin ollen ELY-keskusalueen sisällä on oletettu niin sanotusti sama yksikköhinta yhdelle vuoden ajan valmennuksessa olevalle henkilölle, mutta ELY-keskusalueiden välillä hinta vaihtelee. </a:t>
          </a:r>
        </a:p>
        <a:p>
          <a:endParaRPr lang="fi-FI">
            <a:effectLst/>
          </a:endParaRPr>
        </a:p>
        <a:p>
          <a:r>
            <a:rPr lang="fi-FI" sz="1100" b="1">
              <a:solidFill>
                <a:schemeClr val="dk1"/>
              </a:solidFill>
              <a:effectLst/>
              <a:latin typeface="+mn-lt"/>
              <a:ea typeface="+mn-ea"/>
              <a:cs typeface="+mn-cs"/>
            </a:rPr>
            <a:t>Asiantuntija-arvioinnit:</a:t>
          </a:r>
          <a:endParaRPr lang="fi-FI">
            <a:effectLst/>
          </a:endParaRPr>
        </a:p>
        <a:p>
          <a:r>
            <a:rPr lang="fi-FI" sz="1100">
              <a:solidFill>
                <a:schemeClr val="dk1"/>
              </a:solidFill>
              <a:effectLst/>
              <a:latin typeface="+mn-lt"/>
              <a:ea typeface="+mn-ea"/>
              <a:cs typeface="+mn-cs"/>
            </a:rPr>
            <a:t>Asiantuntija-arvioinneista ei ole käytettävissä kuntakohtaista tietoa palvelun kustannuksista, vaan kirjanpidossa valmennusten kustannukset kirjataan ELY-keskusalueen tasolla. Asiantuntija-arvioinnit ovat keskenään</a:t>
          </a:r>
          <a:r>
            <a:rPr lang="fi-FI" sz="1100" baseline="0">
              <a:solidFill>
                <a:schemeClr val="dk1"/>
              </a:solidFill>
              <a:effectLst/>
              <a:latin typeface="+mn-lt"/>
              <a:ea typeface="+mn-ea"/>
              <a:cs typeface="+mn-cs"/>
            </a:rPr>
            <a:t> erilaisia, eikä niitä tilastoida vastaavalla tavalla kuin koulutuksia ja valmennuksia. Asiantuntija-arvioinnit on kohdennettu laskennallisesti ELY-keskusalueen sisällä kunnittain keskimäärin työttömänä työnhakijana olleiden määrän mukaan. Tieto keskimäärin työttömänä työnhakijana vuonna 2022 aikana olleiden määrästä on poimittu työnvälitystilaston taulukosta "TE-palvelujen työnhakija-asiakkaat kuukauden lopussa ja aikana" poimimalla keskiarvo vuoden 2022 aikana laskentapäivänä kuukauden lopussa työttömänä työnhakijana olleiden määrästä kunnittain.</a:t>
          </a:r>
        </a:p>
        <a:p>
          <a:endParaRPr lang="fi-FI">
            <a:effectLst/>
          </a:endParaRPr>
        </a:p>
        <a:p>
          <a:r>
            <a:rPr lang="fi-FI" sz="1100" b="1">
              <a:solidFill>
                <a:schemeClr val="dk1"/>
              </a:solidFill>
              <a:effectLst/>
              <a:latin typeface="+mn-lt"/>
              <a:ea typeface="+mn-ea"/>
              <a:cs typeface="+mn-cs"/>
            </a:rPr>
            <a:t>Palkkatuki (kunta ja yksityinen) ja starttiraha:</a:t>
          </a:r>
          <a:endParaRPr lang="fi-FI">
            <a:effectLst/>
          </a:endParaRPr>
        </a:p>
        <a:p>
          <a:r>
            <a:rPr lang="fi-FI" sz="1100">
              <a:solidFill>
                <a:schemeClr val="dk1"/>
              </a:solidFill>
              <a:effectLst/>
              <a:latin typeface="+mn-lt"/>
              <a:ea typeface="+mn-ea"/>
              <a:cs typeface="+mn-cs"/>
            </a:rPr>
            <a:t>Palkkatuen ja starttirahan tiedot saadaan</a:t>
          </a:r>
          <a:r>
            <a:rPr lang="fi-FI" sz="1100" baseline="0">
              <a:solidFill>
                <a:schemeClr val="dk1"/>
              </a:solidFill>
              <a:effectLst/>
              <a:latin typeface="+mn-lt"/>
              <a:ea typeface="+mn-ea"/>
              <a:cs typeface="+mn-cs"/>
            </a:rPr>
            <a:t> suoraan kirjanpidosta kunnittain.</a:t>
          </a:r>
          <a:endParaRPr lang="fi-FI">
            <a:effectLst/>
          </a:endParaRPr>
        </a:p>
        <a:p>
          <a:r>
            <a:rPr lang="fi-FI" sz="1100" baseline="0">
              <a:solidFill>
                <a:schemeClr val="dk1"/>
              </a:solidFill>
              <a:effectLst/>
              <a:latin typeface="+mn-lt"/>
              <a:ea typeface="+mn-ea"/>
              <a:cs typeface="+mn-cs"/>
            </a:rPr>
            <a:t> </a:t>
          </a:r>
          <a:endParaRPr lang="fi-FI">
            <a:effectLst/>
          </a:endParaRPr>
        </a:p>
        <a:p>
          <a:r>
            <a:rPr lang="fi-FI" sz="1100" b="1">
              <a:solidFill>
                <a:schemeClr val="dk1"/>
              </a:solidFill>
              <a:effectLst/>
              <a:latin typeface="+mn-lt"/>
              <a:ea typeface="+mn-ea"/>
              <a:cs typeface="+mn-cs"/>
            </a:rPr>
            <a:t>Toimintamenot:</a:t>
          </a:r>
          <a:endParaRPr lang="fi-FI">
            <a:effectLst/>
          </a:endParaRPr>
        </a:p>
        <a:p>
          <a:r>
            <a:rPr lang="fi-FI" sz="1100">
              <a:solidFill>
                <a:schemeClr val="dk1"/>
              </a:solidFill>
              <a:effectLst/>
              <a:latin typeface="+mn-lt"/>
              <a:ea typeface="+mn-ea"/>
              <a:cs typeface="+mn-cs"/>
            </a:rPr>
            <a:t>Toimintamenoissa on huomioitu</a:t>
          </a:r>
          <a:r>
            <a:rPr lang="fi-FI" sz="1100" baseline="0">
              <a:solidFill>
                <a:schemeClr val="dk1"/>
              </a:solidFill>
              <a:effectLst/>
              <a:latin typeface="+mn-lt"/>
              <a:ea typeface="+mn-ea"/>
              <a:cs typeface="+mn-cs"/>
            </a:rPr>
            <a:t> TE-toimistojen toimintamenot. Tiedot perustuvat TE-toimistoittain (vastaavat alueet kuin ELY-keskusalueet) kirjanpidosta ja työajanseurannasta saatuihin kustannustietoihin vuonna 2022. Aineistosta on poistettu henkilötyövuodet, joiden arvioidaan tämän hetken valmistelutilanteen mukaisesti jäävän valtiolle. Työvoimaviranomaisille siirtyvien tehtävien lisäksi laskelmassa on huomioitu myös poistuvat tehtävät, koska näihin kohdentuvat henkilötyövuodet ja rahoitus siirtyisivät kunnille/työvoimaviranomaisille vuoden 2025 alusta. Henkilötyövuodelle on laskettu yksikköhinta jakamalla koko momentin toteutunut käyttö henkilötyövuosilla. Yksikköhinta on näin käsittänyt  palkkojen lisäksi kaikki muutkin toimintamenoista rahoitettavat kustannukset, kuten tilavuokrat ja laitteet. Samaa yksikköhintaa on käytetty kaikilla alueilla muodostaen siirtyvien henkilötyövuosien laskennallinen kustannus alueittain. Lopuksi aluekohtainen kustannus on jaettu kunnittain vuonna 2022 toteutuneiden etuuspäivien määrän suhteessa. Etuuspäivien määrä vuonna 2022 on poimittu Kelastosta raportilta "Työttömyysetuuksien saajat ja maksetut etuudet".</a:t>
          </a:r>
          <a:br>
            <a:rPr lang="fi-FI" sz="1100" baseline="0">
              <a:solidFill>
                <a:schemeClr val="dk1"/>
              </a:solidFill>
              <a:effectLst/>
              <a:latin typeface="+mn-lt"/>
              <a:ea typeface="+mn-ea"/>
              <a:cs typeface="+mn-cs"/>
            </a:rPr>
          </a:br>
          <a:r>
            <a:rPr lang="fi-FI" sz="1100" baseline="0">
              <a:solidFill>
                <a:schemeClr val="dk1"/>
              </a:solidFill>
              <a:effectLst/>
              <a:latin typeface="+mn-lt"/>
              <a:ea typeface="+mn-ea"/>
              <a:cs typeface="+mn-cs"/>
            </a:rPr>
            <a:t/>
          </a:r>
          <a:br>
            <a:rPr lang="fi-FI" sz="1100" baseline="0">
              <a:solidFill>
                <a:schemeClr val="dk1"/>
              </a:solidFill>
              <a:effectLst/>
              <a:latin typeface="+mn-lt"/>
              <a:ea typeface="+mn-ea"/>
              <a:cs typeface="+mn-cs"/>
            </a:rPr>
          </a:br>
          <a:r>
            <a:rPr lang="fi-FI" sz="1100" baseline="0">
              <a:solidFill>
                <a:schemeClr val="dk1"/>
              </a:solidFill>
              <a:effectLst/>
              <a:latin typeface="+mn-lt"/>
              <a:ea typeface="+mn-ea"/>
              <a:cs typeface="+mn-cs"/>
            </a:rPr>
            <a:t>Toimintamenoissa ei ole mukana ELY-keskusten toimintamenoista rahoitettavia siirtyviä henkilötyövuosia. Nämä otetaan huomioon kuitenkin laskettaessa vuoden 2025 valtionosuuksien jakoon vaikuttavaa vuoden 2023 kustannusten toteumaa.</a:t>
          </a:r>
          <a:endParaRPr lang="fi-FI">
            <a:effectLst/>
          </a:endParaRPr>
        </a:p>
        <a:p>
          <a:endParaRPr lang="fi-FI" sz="1100"/>
        </a:p>
      </xdr:txBody>
    </xdr:sp>
    <xdr:clientData/>
  </xdr:twoCellAnchor>
</xdr:wsDr>
</file>

<file path=xl/tables/table1.xml><?xml version="1.0" encoding="utf-8"?>
<table xmlns="http://schemas.openxmlformats.org/spreadsheetml/2006/main" id="1" name="Yhteenveto" displayName="Yhteenveto" ref="A5:R375" totalsRowShown="0" headerRowDxfId="211">
  <autoFilter ref="A5:R3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Kuntanumero" dataDxfId="210"/>
    <tableColumn id="2" name="Kunta" dataDxfId="209"/>
    <tableColumn id="3" name="Asukasmäärä 31.12.2023" dataDxfId="208"/>
    <tableColumn id="4" name="Ikärakenne, laskennallinen kustannus" dataDxfId="207"/>
    <tableColumn id="6" name="Muut laskennalliset kustannukset " dataDxfId="206"/>
    <tableColumn id="7" name="Laskennalliset kustannukset yhteensä" dataDxfId="205"/>
    <tableColumn id="8" name="Omarahoitusosuus, €/as" dataDxfId="204"/>
    <tableColumn id="9" name="Omarahoitusosuus, €" dataDxfId="203"/>
    <tableColumn id="10" name="Valtionosuus omarahoitusosuuden jälkeen (välisumma)" dataDxfId="202"/>
    <tableColumn id="11" name="Lisäosat yhteensä" dataDxfId="201"/>
    <tableColumn id="12" name="Valtionosuuteen tehtävät vähennykset ja lisäykset, netto" dataDxfId="200"/>
    <tableColumn id="13" name="Valtionosuus ennen verotuloihin perustuvaa valtionosuuden tasausta" dataDxfId="199"/>
    <tableColumn id="14" name="Verotuloihin perustuva valtionosuuden tasaus" dataDxfId="198"/>
    <tableColumn id="15" name="Kunnan  peruspalvelujen valtionosuus " dataDxfId="197"/>
    <tableColumn id="5" name="Veroperustemuutoksista johtuvien veromenetysten korvaus" dataDxfId="196"/>
    <tableColumn id="20" name="Valtionosuudet ja veromenetysten korvaukset, yhteensä" dataDxfId="195"/>
    <tableColumn id="16" name="Kotikuntakorvaus, netto (ei päivitetty)" dataDxfId="194"/>
    <tableColumn id="18" name="VM maksatus (valtionosuus + verokomp. + kotikuntakorv.)" dataDxfId="193">
      <calculatedColumnFormula>N6+Q6+P6</calculatedColumnFormula>
    </tableColumn>
  </tableColumns>
  <tableStyleInfo name="TableStyleLight13" showFirstColumn="0" showLastColumn="0" showRowStripes="0" showColumnStripes="0"/>
</table>
</file>

<file path=xl/tables/table10.xml><?xml version="1.0" encoding="utf-8"?>
<table xmlns="http://schemas.openxmlformats.org/spreadsheetml/2006/main" id="12" name="Tasaus" displayName="Tasaus" ref="A10:N304" totalsRowShown="0" headerRowDxfId="71" tableBorderDxfId="70">
  <autoFilter ref="A10:N3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Kunta-numero" dataDxfId="69"/>
    <tableColumn id="2" name="Kunta" dataDxfId="68"/>
    <tableColumn id="3" name="Asukasluku 31.12.2022" dataDxfId="67"/>
    <tableColumn id="7" name="Tuloveroprosentti 2023" dataDxfId="66">
      <calculatedColumnFormula>#REF!-12.64</calculatedColumnFormula>
    </tableColumn>
    <tableColumn id="5" name="Kunnallisvero (maksuunpantu), €" dataDxfId="65"/>
    <tableColumn id="6" name="Verotettava tulo (kunnallisvero), €" dataDxfId="64"/>
    <tableColumn id="8" name="Laskennallinen kunnallisvero, €" dataDxfId="63"/>
    <tableColumn id="9" name="Maksettava yhteisövero, €" dataDxfId="62"/>
    <tableColumn id="10" name="Laskennallinen kiinteistövero, €" dataDxfId="61"/>
    <tableColumn id="11" name="Laskennallinen verotulo yhteensä, €" dataDxfId="60"/>
    <tableColumn id="12" name="Laskennallinen verotulo yhteensä, €/asukas (=tasausraja)" dataDxfId="59"/>
    <tableColumn id="13" name="Erotus = tasausraja - laskennallinen verotulo, €/asukas" dataDxfId="58"/>
    <tableColumn id="16" name="Tasaus,  €/asukas" dataDxfId="57"/>
    <tableColumn id="17" name="Tasaus, €" dataDxfId="56"/>
  </tableColumns>
  <tableStyleInfo name="TableStyleLight13" showFirstColumn="0" showLastColumn="0" showRowStripes="1" showColumnStripes="0"/>
</table>
</file>

<file path=xl/tables/table11.xml><?xml version="1.0" encoding="utf-8"?>
<table xmlns="http://schemas.openxmlformats.org/spreadsheetml/2006/main" id="15" name="Verokompensaatiot" displayName="Verokompensaatiot" ref="A3:F297" totalsRowShown="0" headerRowDxfId="55" dataDxfId="54" tableBorderDxfId="53">
  <tableColumns count="6">
    <tableColumn id="1" name="Kunta-numero" dataDxfId="52"/>
    <tableColumn id="2" name="Kunta" dataDxfId="51"/>
    <tableColumn id="4" name="Korvaukset vuosilta 2010-2023, €" dataDxfId="50"/>
    <tableColumn id="6" name="Veromenetysten korvaus 2024" dataDxfId="49"/>
    <tableColumn id="7" name="Veromenetysten korvaus 2025" dataDxfId="48"/>
    <tableColumn id="5" name="Veromenetysten korvaus 2010-2025 yhteensä, €" dataDxfId="47">
      <calculatedColumnFormula>Verokompensaatiot[[#This Row],[Korvaukset vuosilta 2010-2023, €]]+Verokompensaatiot[[#This Row],[Veromenetysten korvaus 2024]]</calculatedColumnFormula>
    </tableColumn>
  </tableColumns>
  <tableStyleInfo name="TableStyleLight13" showFirstColumn="0" showLastColumn="0" showRowStripes="1" showColumnStripes="0"/>
</table>
</file>

<file path=xl/tables/table12.xml><?xml version="1.0" encoding="utf-8"?>
<table xmlns="http://schemas.openxmlformats.org/spreadsheetml/2006/main" id="14" name="Taulukko3" displayName="Taulukko3" ref="A10:E304" totalsRowShown="0" headerRowDxfId="46" dataDxfId="45">
  <autoFilter ref="A10:E304">
    <filterColumn colId="0" hiddenButton="1"/>
    <filterColumn colId="1" hiddenButton="1"/>
    <filterColumn colId="2" hiddenButton="1"/>
    <filterColumn colId="3" hiddenButton="1"/>
    <filterColumn colId="4" hiddenButton="1"/>
  </autoFilter>
  <tableColumns count="5">
    <tableColumn id="1" name="Kunta nro" dataDxfId="44"/>
    <tableColumn id="2" name="Kunta" dataDxfId="43"/>
    <tableColumn id="3" name="Väestö, 18-64-vuotiaat (2023)" dataDxfId="42"/>
    <tableColumn id="4" name="Työttömät ja palveluissa olevat (2023)" dataDxfId="41"/>
    <tableColumn id="5" name="Vieraskieliset (2023)" dataDxfId="40"/>
  </tableColumns>
  <tableStyleInfo name="TableStyleMedium2" showFirstColumn="0" showLastColumn="0" showRowStripes="0" showColumnStripes="0"/>
</table>
</file>

<file path=xl/tables/table13.xml><?xml version="1.0" encoding="utf-8"?>
<table xmlns="http://schemas.openxmlformats.org/spreadsheetml/2006/main" id="16" name="Taulukko4" displayName="Taulukko4" ref="G6:I7" totalsRowShown="0" dataDxfId="39">
  <autoFilter ref="G6:I7">
    <filterColumn colId="0" hiddenButton="1"/>
    <filterColumn colId="1" hiddenButton="1"/>
    <filterColumn colId="2" hiddenButton="1"/>
  </autoFilter>
  <tableColumns count="3">
    <tableColumn id="1" name="Perushinnat, €" dataDxfId="38"/>
    <tableColumn id="2" name=" " dataDxfId="37"/>
    <tableColumn id="3" name="  " dataDxfId="36"/>
  </tableColumns>
  <tableStyleInfo name="TableStyleMedium2" showFirstColumn="0" showLastColumn="0" showRowStripes="0" showColumnStripes="0"/>
</table>
</file>

<file path=xl/tables/table14.xml><?xml version="1.0" encoding="utf-8"?>
<table xmlns="http://schemas.openxmlformats.org/spreadsheetml/2006/main" id="13" name="Taulukko8" displayName="Taulukko8" ref="A5:U299" totalsRowShown="0" headerRowDxfId="35" dataDxfId="34">
  <tableColumns count="21">
    <tableColumn id="1" name="Kunta nro" dataDxfId="33"/>
    <tableColumn id="2" name="Kunta" dataDxfId="32"/>
    <tableColumn id="3" name="Asukasluku 2022" dataDxfId="31"/>
    <tableColumn id="4" name="Työvoima 2022" dataDxfId="30"/>
    <tableColumn id="5" name="Työttömät 2022" dataDxfId="29"/>
    <tableColumn id="6" name="Etuuspäivät 2022" dataDxfId="28"/>
    <tableColumn id="7" name="Kotoutumiskoulutus, €" dataDxfId="27"/>
    <tableColumn id="8" name="Muiden kuin pakolaisten osuus kotoutumiskoulutuksista,  €" dataDxfId="26"/>
    <tableColumn id="9" name="Muu työvoimakoulutus, €" dataDxfId="25"/>
    <tableColumn id="10" name="Valmennukset, €" dataDxfId="24"/>
    <tableColumn id="11" name="Asiantuntija-arvionnit, €" dataDxfId="23"/>
    <tableColumn id="12" name="Palkkatuki, kunta €" dataDxfId="22"/>
    <tableColumn id="14" name="Starttiraha, €" dataDxfId="21"/>
    <tableColumn id="15" name="Palkkatuki, yksityinen, €" dataDxfId="20"/>
    <tableColumn id="16" name="Palvelut yhteensä, €" dataDxfId="19"/>
    <tableColumn id="17" name="Palvelut yhteensä per työtön" dataDxfId="18">
      <calculatedColumnFormula>Taulukko8[[#This Row],[Palvelut yhteensä, €]]/Taulukko8[[#This Row],[Työttömät 2022]]</calculatedColumnFormula>
    </tableColumn>
    <tableColumn id="18" name="Toimintamenot, arvio" dataDxfId="17"/>
    <tableColumn id="19" name="Toimintamenot per työtön" dataDxfId="16">
      <calculatedColumnFormula>Taulukko8[[#This Row],[Toimintamenot, arvio]]/Taulukko8[[#This Row],[Työttömät 2022]]</calculatedColumnFormula>
    </tableColumn>
    <tableColumn id="20" name="Palvelut + toimintamenot" dataDxfId="15"/>
    <tableColumn id="21" name="Palvelut + toimintamenot, skaalattu siirtyvän rahoituksen tasoon" dataDxfId="14"/>
    <tableColumn id="13" name=" Vuonna 2025  rahoituksesta 50 % määräytyy kustannusten mukaan (ks välilehti Muut lis_väh)" dataDxfId="13"/>
  </tableColumns>
  <tableStyleInfo name="TableStyleMedium2" showFirstColumn="0" showLastColumn="0" showRowStripes="0" showColumnStripes="0"/>
</table>
</file>

<file path=xl/tables/table15.xml><?xml version="1.0" encoding="utf-8"?>
<table xmlns="http://schemas.openxmlformats.org/spreadsheetml/2006/main" id="10" name="Taulukko9" displayName="Taulukko9" ref="A10:I304" totalsRowShown="0" headerRowDxfId="12" headerRowBorderDxfId="11" tableBorderDxfId="10" totalsRowBorderDxfId="9">
  <autoFilter ref="A10:I3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Kunta nro" dataDxfId="8"/>
    <tableColumn id="2" name="Kunta" dataDxfId="7"/>
    <tableColumn id="3" name="Asukasluku 2023" dataDxfId="6"/>
    <tableColumn id="4" name="Nykytila, kuntien osuus työmarkkinatuesta" dataDxfId="5"/>
    <tableColumn id="5" name="Uudistuksten mukainen osuus työmarkkinatuesta" dataDxfId="4"/>
    <tableColumn id="6" name="Uudistuksen mukainen osuus peruspäivärahasta" dataDxfId="3"/>
    <tableColumn id="7" name="Uudistuksen mukainen osuus ansiopäivärahasta" dataDxfId="2"/>
    <tableColumn id="8" name="Uudistuksen mukainen rahoitusvastuu yhteensä" dataDxfId="1"/>
    <tableColumn id="9" name="Muutos rahoitusvastuussa vuoden 2023 tasossa = korvaus" dataDxfId="0"/>
  </tableColumns>
  <tableStyleInfo name="TableStyleMedium2" showFirstColumn="0" showLastColumn="0" showRowStripes="0" showColumnStripes="0"/>
</table>
</file>

<file path=xl/tables/table2.xml><?xml version="1.0" encoding="utf-8"?>
<table xmlns="http://schemas.openxmlformats.org/spreadsheetml/2006/main" id="2" name="Ikärakenne" displayName="Ikärakenne" ref="A5:P299" totalsRowShown="0" headerRowDxfId="192" dataDxfId="191">
  <tableColumns count="16">
    <tableColumn id="1" name="Kunta-numero" dataDxfId="190"/>
    <tableColumn id="2" name="Kunta" dataDxfId="189"/>
    <tableColumn id="8" name="Yhteensä" dataDxfId="188"/>
    <tableColumn id="3" name="0–5-vuotiaat" dataDxfId="187"/>
    <tableColumn id="4" name="6 vuotiaat" dataDxfId="186"/>
    <tableColumn id="5" name="7–12-vuotiaat" dataDxfId="185"/>
    <tableColumn id="6" name="13–15-vuotiaat" dataDxfId="184"/>
    <tableColumn id="7" name="16 vuotta täyttäneet" dataDxfId="183"/>
    <tableColumn id="12" name="18–64-vuotiaat" dataDxfId="182"/>
    <tableColumn id="13" name="Ikä 0–5" dataDxfId="181"/>
    <tableColumn id="14" name="Ikä 6" dataDxfId="180"/>
    <tableColumn id="15" name="Ikä 7–12" dataDxfId="179"/>
    <tableColumn id="16" name="Ikä 13–15" dataDxfId="178"/>
    <tableColumn id="17" name="Ikä 16+" dataDxfId="177"/>
    <tableColumn id="9" name="Ikä 18-64" dataDxfId="176"/>
    <tableColumn id="22" name="Laskennalliset kustannukset, IKÄRAKENNE yhteensä, €" dataDxfId="175"/>
  </tableColumns>
  <tableStyleInfo name="TableStyleLight13" showFirstColumn="0" showLastColumn="0" showRowStripes="1" showColumnStripes="0"/>
</table>
</file>

<file path=xl/tables/table3.xml><?xml version="1.0" encoding="utf-8"?>
<table xmlns="http://schemas.openxmlformats.org/spreadsheetml/2006/main" id="3" name="Ikäryhmähinnat" displayName="Ikäryhmähinnat" ref="J2:O3" totalsRowShown="0" headerRowDxfId="174" dataDxfId="173" tableBorderDxfId="172" dataCellStyle="Pilkku">
  <tableColumns count="6">
    <tableColumn id="1" name="Ikä 0–5" dataDxfId="171" dataCellStyle="Pilkku"/>
    <tableColumn id="2" name="Ikä 6" dataDxfId="170" dataCellStyle="Pilkku"/>
    <tableColumn id="3" name="Ikä 7–12" dataDxfId="169" dataCellStyle="Pilkku"/>
    <tableColumn id="4" name="Ikä 13–15" dataDxfId="168" dataCellStyle="Pilkku"/>
    <tableColumn id="5" name="Ikä 16+" dataDxfId="167" dataCellStyle="Pilkku"/>
    <tableColumn id="6" name="Ikä 18-64" dataDxfId="166" dataCellStyle="Pilkku"/>
  </tableColumns>
  <tableStyleInfo name="TableStyleLight11" showFirstColumn="0" showLastColumn="0" showRowStripes="1" showColumnStripes="0"/>
</table>
</file>

<file path=xl/tables/table4.xml><?xml version="1.0" encoding="utf-8"?>
<table xmlns="http://schemas.openxmlformats.org/spreadsheetml/2006/main" id="4" name="Muut" displayName="Muut" ref="A11:AD305" totalsRowShown="0" headerRowDxfId="165" dataDxfId="164" tableBorderDxfId="163">
  <tableColumns count="30">
    <tableColumn id="1" name="Kuntanumero" dataDxfId="162"/>
    <tableColumn id="2" name="Kunta" dataDxfId="161"/>
    <tableColumn id="3" name="Asukasmäärä 31.12.2023" dataDxfId="160">
      <calculatedColumnFormula>INDEX('Lask. kustannukset IKÄRAKENNE'!C$7:C$299,MATCH('Lask. kustannukset MUUT'!$A$13:$A$305,'Lask. kustannukset IKÄRAKENNE'!$A$7:$A$299,0),1,1)</calculatedColumnFormula>
    </tableColumn>
    <tableColumn id="5" name="Työttömät työnhakijat 2023" dataDxfId="159"/>
    <tableColumn id="6" name="Työvoima 2023" dataDxfId="158"/>
    <tableColumn id="7" name="Keskim. työttömyysaste 2023, %" dataDxfId="157">
      <calculatedColumnFormula>D12/E12</calculatedColumnFormula>
    </tableColumn>
    <tableColumn id="8" name="Työttömyyskerroin" dataDxfId="156">
      <calculatedColumnFormula>F12/$F$12</calculatedColumnFormula>
    </tableColumn>
    <tableColumn id="9" name="Kieliasema" dataDxfId="155"/>
    <tableColumn id="10" name="Ruotsinkielisten määrä 31.12.2023" dataDxfId="154"/>
    <tableColumn id="11" name="Vieraskielisten määrä 31.12.2023" dataDxfId="153"/>
    <tableColumn id="14" name="Maapinta-ala km2, 31.12.2023" dataDxfId="152"/>
    <tableColumn id="15" name="Asukastiehys 2023" dataDxfId="151">
      <calculatedColumnFormula>C12/K12</calculatedColumnFormula>
    </tableColumn>
    <tableColumn id="16" name="Asukastiheyskerroin (maks kerroin x20)" dataDxfId="150">
      <calculatedColumnFormula>$L$12/L12</calculatedColumnFormula>
    </tableColumn>
    <tableColumn id="17" name="Saaristoasema" dataDxfId="149"/>
    <tableColumn id="18" name="Saaristoväestö 2022" dataDxfId="148"/>
    <tableColumn id="19" name="30 - 54 v. väestö 31.12.2023" dataDxfId="147"/>
    <tableColumn id="20" name="30 - 54 v. ilman tutkintoa 31.12.2022" dataDxfId="146"/>
    <tableColumn id="21" name="Koulutustausta, ilman tutkintoa osuus " dataDxfId="145"/>
    <tableColumn id="22" name="Koulutustausta-kerroin " dataDxfId="144">
      <calculatedColumnFormula>R12-$S$10</calculatedColumnFormula>
    </tableColumn>
    <tableColumn id="13" name="Työttömät ja palveluissa olevat 2023" dataDxfId="143"/>
    <tableColumn id="24" name="Työttömyysaste" dataDxfId="142"/>
    <tableColumn id="25" name="Kaksikielisyys I (koko väestö)" dataDxfId="141"/>
    <tableColumn id="26" name="Kaksikielisyys II, (ruotsink.)" dataDxfId="140"/>
    <tableColumn id="27" name="Vieraskielisyys" dataDxfId="139"/>
    <tableColumn id="28" name="Asukastiheys" dataDxfId="138"/>
    <tableColumn id="29" name="Saaristo" dataDxfId="137"/>
    <tableColumn id="30" name="Saaristo-osakunta" dataDxfId="136"/>
    <tableColumn id="31" name="Koulutustausta" dataDxfId="135"/>
    <tableColumn id="23" name="Työttömät ja palveluissa olevat " dataDxfId="134"/>
    <tableColumn id="33" name="Muut lask. kustannukset yhteensä" dataDxfId="133"/>
  </tableColumns>
  <tableStyleInfo name="TableStyleLight13" showFirstColumn="0" showLastColumn="0" showRowStripes="1" showColumnStripes="0"/>
</table>
</file>

<file path=xl/tables/table5.xml><?xml version="1.0" encoding="utf-8"?>
<table xmlns="http://schemas.openxmlformats.org/spreadsheetml/2006/main" id="5" name="Selite" displayName="Selite" ref="A4:B8" totalsRowShown="0" headerRowDxfId="132">
  <autoFilter ref="A4:B8">
    <filterColumn colId="0" hiddenButton="1"/>
    <filterColumn colId="1" hiddenButton="1"/>
  </autoFilter>
  <tableColumns count="2">
    <tableColumn id="1" name="Kieliasema:" dataDxfId="131"/>
    <tableColumn id="2" name="Saaristoasema:"/>
  </tableColumns>
  <tableStyleInfo name="TableStyleLight13" showFirstColumn="0" showLastColumn="0" showRowStripes="1" showColumnStripes="0"/>
</table>
</file>

<file path=xl/tables/table6.xml><?xml version="1.0" encoding="utf-8"?>
<table xmlns="http://schemas.openxmlformats.org/spreadsheetml/2006/main" id="6" name="Kriteerihinnat" displayName="Kriteerihinnat" ref="U5:AC6" totalsRowShown="0" headerRowDxfId="130" dataDxfId="129" tableBorderDxfId="128">
  <tableColumns count="9">
    <tableColumn id="1" name="Työttömyysaste" dataDxfId="127"/>
    <tableColumn id="2" name="Kaksikielisyys I (koko väestö)" dataDxfId="126"/>
    <tableColumn id="3" name="Kaksikielisyys II, (ruotsink.)" dataDxfId="125"/>
    <tableColumn id="4" name="Vieraskielisyys" dataDxfId="124"/>
    <tableColumn id="5" name="Asukastiheys" dataDxfId="123"/>
    <tableColumn id="6" name="Saaristo" dataDxfId="122"/>
    <tableColumn id="7" name="Saaristo-osakunta" dataDxfId="121"/>
    <tableColumn id="8" name="Koulutustausta" dataDxfId="120"/>
    <tableColumn id="9" name="Työttömät ja palveluissa olevat" dataDxfId="119"/>
  </tableColumns>
  <tableStyleInfo name="TableStyleLight11" showFirstColumn="0" showLastColumn="0" showRowStripes="1" showColumnStripes="0"/>
</table>
</file>

<file path=xl/tables/table7.xml><?xml version="1.0" encoding="utf-8"?>
<table xmlns="http://schemas.openxmlformats.org/spreadsheetml/2006/main" id="7" name="Lisäosat" displayName="Lisäosat" ref="A6:U300" totalsRowShown="0" headerRowDxfId="118" tableBorderDxfId="117">
  <autoFilter ref="A6:U3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name="Kunta-numero" dataDxfId="116"/>
    <tableColumn id="2" name="Kunta" dataDxfId="115"/>
    <tableColumn id="3" name="Asukasmäärä 31.12.2023" dataDxfId="114"/>
    <tableColumn id="4" name="Syrjäisyysluku (tiestö) 2022-2026" dataDxfId="113"/>
    <tableColumn id="5" name="Saamen kotiseutu, 1 = kyllä 0 = ei" dataDxfId="112"/>
    <tableColumn id="6" name="Saamenkielisen väestön määrä 31.12.2023" dataDxfId="111"/>
    <tableColumn id="7" name="Saamenkielisen väestön osuus, %" dataDxfId="110"/>
    <tableColumn id="8" name="Työpaikat 2022" dataDxfId="109"/>
    <tableColumn id="9" name="Työlliset 2022" dataDxfId="108"/>
    <tableColumn id="10" name="Työpaikkaomavaraisuus 2022" dataDxfId="107"/>
    <tableColumn id="16" name="Työpaikkaomavaraisuuskerroin" dataDxfId="106"/>
    <tableColumn id="17" name="HYTE-kerroin (sis. Kulttuurihyte)" dataDxfId="105"/>
    <tableColumn id="21" name="Hyte-kertoimen väestöpainotus" dataDxfId="104">
      <calculatedColumnFormula>Lisäosat[[#This Row],[HYTE-kerroin (sis. Kulttuurihyte)]]*Lisäosat[[#This Row],[Asukasmäärä 31.12.2023]]</calculatedColumnFormula>
    </tableColumn>
    <tableColumn id="20" name="Väestöllä painotettu HYTE-kerroin" dataDxfId="103"/>
    <tableColumn id="11" name="Positiivinen väestön kasvu 2021-2023" dataDxfId="102"/>
    <tableColumn id="12" name="Syrjäisyys" dataDxfId="101"/>
    <tableColumn id="13" name="Saamen kotiseutu" dataDxfId="100"/>
    <tableColumn id="14" name="Työpaikkaomavaraisuus " dataDxfId="99"/>
    <tableColumn id="19" name="HYTE-kerroin " dataDxfId="98"/>
    <tableColumn id="18" name="Väestön kasvu" dataDxfId="97"/>
    <tableColumn id="15" name="Yhteensä" dataDxfId="96"/>
  </tableColumns>
  <tableStyleInfo name="TableStyleLight13" showFirstColumn="0" showLastColumn="0" showRowStripes="1" showColumnStripes="0"/>
</table>
</file>

<file path=xl/tables/table8.xml><?xml version="1.0" encoding="utf-8"?>
<table xmlns="http://schemas.openxmlformats.org/spreadsheetml/2006/main" id="8" name="Lisäosahinnat" displayName="Lisäosahinnat" ref="P2:T3" totalsRowShown="0" headerRowDxfId="95" dataDxfId="94" tableBorderDxfId="93">
  <autoFilter ref="P2:T3">
    <filterColumn colId="0" hiddenButton="1"/>
    <filterColumn colId="1" hiddenButton="1"/>
    <filterColumn colId="2" hiddenButton="1"/>
    <filterColumn colId="3" hiddenButton="1"/>
    <filterColumn colId="4" hiddenButton="1"/>
  </autoFilter>
  <tableColumns count="5">
    <tableColumn id="1" name="Syrjäisyys" dataDxfId="92"/>
    <tableColumn id="2" name="Saamen kotiseutu" dataDxfId="91"/>
    <tableColumn id="3" name="Työpaikkaomavaraisuus" dataDxfId="90"/>
    <tableColumn id="4" name="HYTE-kerroin" dataDxfId="89"/>
    <tableColumn id="5" name="Väestön kasvu" dataDxfId="88"/>
  </tableColumns>
  <tableStyleInfo name="TableStyleLight11" showFirstColumn="0" showLastColumn="0" showRowStripes="1" showColumnStripes="0"/>
</table>
</file>

<file path=xl/tables/table9.xml><?xml version="1.0" encoding="utf-8"?>
<table xmlns="http://schemas.openxmlformats.org/spreadsheetml/2006/main" id="9" name="LisäyksetVähennykset" displayName="LisäyksetVähennykset" ref="A3:O297" totalsRowShown="0" headerRowDxfId="87">
  <tableColumns count="15">
    <tableColumn id="1" name="Kunta-numero" dataDxfId="86"/>
    <tableColumn id="2" name="Kunta" dataDxfId="85"/>
    <tableColumn id="21" name="Kuntien yhdistymisavustus (-0,99 €/as)" dataDxfId="84"/>
    <tableColumn id="4" name="Harkinnanvaraisten avustusten vähennys (-1,79 €/as)" dataDxfId="83"/>
    <tableColumn id="5" name="Kriisikuntien harkinnanvarainen yhdistymisavustus (-0,99 €/as)" dataDxfId="82"/>
    <tableColumn id="7" name="Aloittavien koulujen rahoitukseen liittyvä vähennys (-0,01 €/as)" dataDxfId="81"/>
    <tableColumn id="11" name="Kumulatiivinen verotuloihin perustuvan tasauksen muutoksen neutralisointi" dataDxfId="80"/>
    <tableColumn id="12" name="Kunnan rahoitusosuus perustoimeentulotuesta" dataDxfId="79"/>
    <tableColumn id="17" name="Sote-uudistuksen muutosrajoitin" dataDxfId="78"/>
    <tableColumn id="16" name="Sote-uudistuksen järjestelmämuutoksen tasaus vuodelle 2025" dataDxfId="77"/>
    <tableColumn id="6" name="Jälkikäteistarkistuksesta johtuva valtionosuuden  lisäsiirtotarve vuodelta 2023, 500 milj. € (1/3)" dataDxfId="76"/>
    <tableColumn id="8" name="Määräaikaisen v 2024 tehdyn lisäyksen takaisinperintä (1/3)" dataDxfId="75"/>
    <tableColumn id="9" name="TE25: Kunnan työttömyysetuuksien rahoitusvastuun laajentamisen korvaus" dataDxfId="74"/>
    <tableColumn id="13" name="TE25: Uudistuksen rahoituksen siirtymäajan porrastus (50 % kustannusperusteinen / 50 % vos-kriteerit)" dataDxfId="73"/>
    <tableColumn id="20" name="Lisäykset ja vähennykset yhteensä, €" dataDxfId="72"/>
  </tableColumns>
  <tableStyleInfo name="TableStyleLight13" showFirstColumn="0" showLastColumn="0" showRowStripes="1"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abSelected="1" zoomScale="90" zoomScaleNormal="90" workbookViewId="0"/>
  </sheetViews>
  <sheetFormatPr defaultRowHeight="14.25"/>
  <cols>
    <col min="1" max="1" width="91.375" customWidth="1"/>
  </cols>
  <sheetData>
    <row r="1" spans="1:1" ht="23.25">
      <c r="A1" s="314" t="s">
        <v>837</v>
      </c>
    </row>
    <row r="2" spans="1:1" ht="28.5">
      <c r="A2" s="149" t="s">
        <v>941</v>
      </c>
    </row>
    <row r="3" spans="1:1" ht="28.5">
      <c r="A3" s="149" t="s">
        <v>838</v>
      </c>
    </row>
    <row r="4" spans="1:1" ht="87" customHeight="1">
      <c r="A4" s="149" t="s">
        <v>948</v>
      </c>
    </row>
    <row r="5" spans="1:1" ht="77.25" customHeight="1">
      <c r="A5" s="442" t="s">
        <v>949</v>
      </c>
    </row>
    <row r="6" spans="1:1" ht="71.25">
      <c r="A6" s="441" t="s">
        <v>950</v>
      </c>
    </row>
    <row r="7" spans="1:1" ht="57">
      <c r="A7" s="441" t="s">
        <v>947</v>
      </c>
    </row>
    <row r="8" spans="1:1">
      <c r="A8" s="441" t="s">
        <v>840</v>
      </c>
    </row>
    <row r="9" spans="1:1">
      <c r="A9" s="441" t="s">
        <v>842</v>
      </c>
    </row>
    <row r="10" spans="1:1">
      <c r="A10" s="355" t="s">
        <v>839</v>
      </c>
    </row>
    <row r="11" spans="1:1">
      <c r="A11" s="355" t="s">
        <v>841</v>
      </c>
    </row>
    <row r="12" spans="1:1" ht="30">
      <c r="A12" s="479" t="s">
        <v>933</v>
      </c>
    </row>
    <row r="13" spans="1:1" ht="28.5" customHeight="1" thickBot="1">
      <c r="A13" s="447" t="s">
        <v>843</v>
      </c>
    </row>
    <row r="14" spans="1:1" ht="28.5">
      <c r="A14" s="442" t="s">
        <v>936</v>
      </c>
    </row>
    <row r="15" spans="1:1" ht="28.5">
      <c r="A15" s="442" t="s">
        <v>951</v>
      </c>
    </row>
    <row r="16" spans="1:1" ht="18.75" customHeight="1">
      <c r="A16" s="149"/>
    </row>
    <row r="18" spans="1:1">
      <c r="A18" s="355" t="s">
        <v>729</v>
      </c>
    </row>
    <row r="19" spans="1:1">
      <c r="A19" s="355" t="s">
        <v>737</v>
      </c>
    </row>
    <row r="20" spans="1:1">
      <c r="A20" s="355" t="s">
        <v>750</v>
      </c>
    </row>
    <row r="21" spans="1:1">
      <c r="A21" s="355" t="s">
        <v>738</v>
      </c>
    </row>
    <row r="23" spans="1:1">
      <c r="A23" s="355" t="s">
        <v>730</v>
      </c>
    </row>
    <row r="24" spans="1:1">
      <c r="A24" s="355" t="s">
        <v>750</v>
      </c>
    </row>
    <row r="25" spans="1:1">
      <c r="A25" s="355" t="s">
        <v>731</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U299"/>
  <sheetViews>
    <sheetView zoomScale="90" zoomScaleNormal="90" workbookViewId="0"/>
  </sheetViews>
  <sheetFormatPr defaultRowHeight="14.25"/>
  <cols>
    <col min="1" max="1" width="5.75" customWidth="1"/>
    <col min="2" max="8" width="12.375" customWidth="1"/>
    <col min="9" max="9" width="16.125" customWidth="1"/>
    <col min="10" max="16" width="12.375" customWidth="1"/>
    <col min="17" max="17" width="14.125" customWidth="1"/>
    <col min="18" max="18" width="13.5" customWidth="1"/>
    <col min="19" max="19" width="12.375" customWidth="1"/>
    <col min="20" max="20" width="15" customWidth="1"/>
    <col min="21" max="21" width="18.375" customWidth="1"/>
  </cols>
  <sheetData>
    <row r="1" spans="1:21" ht="23.25">
      <c r="A1" s="314" t="s">
        <v>905</v>
      </c>
      <c r="T1" s="468">
        <v>657954000</v>
      </c>
      <c r="U1" s="468"/>
    </row>
    <row r="2" spans="1:21">
      <c r="A2" s="451" t="s">
        <v>935</v>
      </c>
      <c r="T2" s="468"/>
      <c r="U2" s="468"/>
    </row>
    <row r="3" spans="1:21">
      <c r="A3" s="327" t="s">
        <v>922</v>
      </c>
    </row>
    <row r="4" spans="1:21">
      <c r="A4" s="450" t="s">
        <v>906</v>
      </c>
    </row>
    <row r="5" spans="1:21" s="470" customFormat="1" ht="76.5">
      <c r="A5" s="462" t="s">
        <v>890</v>
      </c>
      <c r="B5" s="463" t="s">
        <v>3</v>
      </c>
      <c r="C5" s="469" t="s">
        <v>891</v>
      </c>
      <c r="D5" s="469" t="s">
        <v>748</v>
      </c>
      <c r="E5" s="469" t="s">
        <v>907</v>
      </c>
      <c r="F5" s="469" t="s">
        <v>908</v>
      </c>
      <c r="G5" s="469" t="s">
        <v>909</v>
      </c>
      <c r="H5" s="469" t="s">
        <v>910</v>
      </c>
      <c r="I5" s="469" t="s">
        <v>911</v>
      </c>
      <c r="J5" s="469" t="s">
        <v>912</v>
      </c>
      <c r="K5" s="469" t="s">
        <v>913</v>
      </c>
      <c r="L5" s="469" t="s">
        <v>914</v>
      </c>
      <c r="M5" s="469" t="s">
        <v>915</v>
      </c>
      <c r="N5" s="469" t="s">
        <v>916</v>
      </c>
      <c r="O5" s="469" t="s">
        <v>917</v>
      </c>
      <c r="P5" s="469" t="s">
        <v>918</v>
      </c>
      <c r="Q5" s="469" t="s">
        <v>919</v>
      </c>
      <c r="R5" s="469" t="s">
        <v>920</v>
      </c>
      <c r="S5" s="469" t="s">
        <v>921</v>
      </c>
      <c r="T5" s="469" t="s">
        <v>923</v>
      </c>
      <c r="U5" s="469" t="s">
        <v>934</v>
      </c>
    </row>
    <row r="6" spans="1:21" s="31" customFormat="1" ht="15">
      <c r="A6" s="464"/>
      <c r="B6" s="454" t="s">
        <v>897</v>
      </c>
      <c r="C6" s="471">
        <f t="shared" ref="C6:S6" si="0">SUM(C7:C299)</f>
        <v>5533611</v>
      </c>
      <c r="D6" s="471">
        <f t="shared" si="0"/>
        <v>2633250</v>
      </c>
      <c r="E6" s="471">
        <f t="shared" si="0"/>
        <v>248788</v>
      </c>
      <c r="F6" s="471">
        <f t="shared" si="0"/>
        <v>78737561</v>
      </c>
      <c r="G6" s="471">
        <f t="shared" si="0"/>
        <v>47868278.61999996</v>
      </c>
      <c r="H6" s="471">
        <f t="shared" si="0"/>
        <v>28720967.17200001</v>
      </c>
      <c r="I6" s="471">
        <f t="shared" si="0"/>
        <v>56687938.07000003</v>
      </c>
      <c r="J6" s="471">
        <f t="shared" si="0"/>
        <v>23709317.342804223</v>
      </c>
      <c r="K6" s="471">
        <f t="shared" si="0"/>
        <v>5150049.7900000038</v>
      </c>
      <c r="L6" s="471">
        <f t="shared" si="0"/>
        <v>79041473.410000026</v>
      </c>
      <c r="M6" s="471">
        <f t="shared" si="0"/>
        <v>40027970.630000018</v>
      </c>
      <c r="N6" s="471">
        <f t="shared" si="0"/>
        <v>156822511.6399999</v>
      </c>
      <c r="O6" s="472">
        <f t="shared" si="0"/>
        <v>390160228.05480444</v>
      </c>
      <c r="P6" s="471">
        <f>Taulukko8[[#This Row],[Palvelut yhteensä, €]]/Taulukko8[[#This Row],[Työttömät 2022]]</f>
        <v>1568.2437579577972</v>
      </c>
      <c r="Q6" s="472">
        <f t="shared" si="0"/>
        <v>235963013.40006807</v>
      </c>
      <c r="R6" s="471">
        <f>Taulukko8[[#This Row],[Toimintamenot, arvio]]/Taulukko8[[#This Row],[Työttömät 2022]]</f>
        <v>948.45013987840275</v>
      </c>
      <c r="S6" s="472">
        <f t="shared" si="0"/>
        <v>626123241.45487261</v>
      </c>
      <c r="T6" s="480">
        <f>SUM(T7:T299)</f>
        <v>657953999.99999952</v>
      </c>
      <c r="U6" s="482">
        <f>SUM(U7:U299)</f>
        <v>328976999.99999976</v>
      </c>
    </row>
    <row r="7" spans="1:21">
      <c r="A7" s="465">
        <v>5</v>
      </c>
      <c r="B7" s="456" t="s">
        <v>12</v>
      </c>
      <c r="C7" s="459">
        <v>9183</v>
      </c>
      <c r="D7" s="459">
        <v>3701</v>
      </c>
      <c r="E7" s="459">
        <v>246</v>
      </c>
      <c r="F7" s="459">
        <v>88823</v>
      </c>
      <c r="G7" s="459">
        <v>57255.753379833717</v>
      </c>
      <c r="H7" s="459">
        <v>34353.452027900232</v>
      </c>
      <c r="I7" s="459">
        <v>93300.692220300218</v>
      </c>
      <c r="J7" s="459">
        <v>164269.06302788842</v>
      </c>
      <c r="K7" s="459">
        <v>3262.0993541403573</v>
      </c>
      <c r="L7" s="459">
        <v>68582.040000000008</v>
      </c>
      <c r="M7" s="459">
        <v>45157.64</v>
      </c>
      <c r="N7" s="459">
        <v>254083.31</v>
      </c>
      <c r="O7" s="473">
        <f>SUM(Taulukko8[[#This Row],[Muiden kuin pakolaisten osuus kotoutumiskoulutuksista,  €]:[Palkkatuki, yksityinen, €]])</f>
        <v>663008.29663022934</v>
      </c>
      <c r="P7" s="459">
        <f>Taulukko8[[#This Row],[Palvelut yhteensä, €]]/Taulukko8[[#This Row],[Työttömät 2022]]</f>
        <v>2695.1556773586558</v>
      </c>
      <c r="Q7" s="473">
        <v>313900.66924557148</v>
      </c>
      <c r="R7" s="459">
        <f>Taulukko8[[#This Row],[Toimintamenot, arvio]]/Taulukko8[[#This Row],[Työttömät 2022]]</f>
        <v>1276.0189806730548</v>
      </c>
      <c r="S7" s="473">
        <f>Taulukko8[[#This Row],[Palvelut yhteensä, €]]+Taulukko8[[#This Row],[Toimintamenot, arvio]]</f>
        <v>976908.96587580082</v>
      </c>
      <c r="T7" s="481">
        <f>(Taulukko8[[#This Row],[Palvelut + toimintamenot]]/S6)*T1</f>
        <v>1026572.9159650964</v>
      </c>
      <c r="U7" s="483">
        <f>Taulukko8[[#This Row],[Palvelut + toimintamenot, skaalattu siirtyvän rahoituksen tasoon]]*0.5</f>
        <v>513286.45798254822</v>
      </c>
    </row>
    <row r="8" spans="1:21">
      <c r="A8" s="465">
        <v>9</v>
      </c>
      <c r="B8" s="456" t="s">
        <v>13</v>
      </c>
      <c r="C8" s="459">
        <v>2447</v>
      </c>
      <c r="D8" s="459">
        <v>1064</v>
      </c>
      <c r="E8" s="459">
        <v>77</v>
      </c>
      <c r="F8" s="459">
        <v>24837</v>
      </c>
      <c r="G8" s="459">
        <v>4410.8321104756369</v>
      </c>
      <c r="H8" s="459">
        <v>2646.499266285382</v>
      </c>
      <c r="I8" s="459">
        <v>12144.394969303348</v>
      </c>
      <c r="J8" s="459">
        <v>805.58832369942195</v>
      </c>
      <c r="K8" s="459">
        <v>892.04036987546101</v>
      </c>
      <c r="L8" s="459">
        <v>30087.4</v>
      </c>
      <c r="M8" s="459">
        <v>22782.86</v>
      </c>
      <c r="N8" s="459">
        <v>89672.88</v>
      </c>
      <c r="O8" s="473">
        <f>SUM(Taulukko8[[#This Row],[Muiden kuin pakolaisten osuus kotoutumiskoulutuksista,  €]:[Palkkatuki, yksityinen, €]])</f>
        <v>159031.66292916361</v>
      </c>
      <c r="P8" s="459">
        <f>Taulukko8[[#This Row],[Palvelut yhteensä, €]]/Taulukko8[[#This Row],[Työttömät 2022]]</f>
        <v>2065.3462718073197</v>
      </c>
      <c r="Q8" s="473">
        <v>70402.67191159178</v>
      </c>
      <c r="R8" s="459">
        <f>Taulukko8[[#This Row],[Toimintamenot, arvio]]/Taulukko8[[#This Row],[Työttömät 2022]]</f>
        <v>914.3204144362569</v>
      </c>
      <c r="S8" s="473">
        <f>Taulukko8[[#This Row],[Palvelut yhteensä, €]]+Taulukko8[[#This Row],[Toimintamenot, arvio]]</f>
        <v>229434.33484075539</v>
      </c>
      <c r="T8" s="481">
        <f>(Taulukko8[[#This Row],[Palvelut + toimintamenot]]/$S$6)*$T$1</f>
        <v>241098.28281577132</v>
      </c>
      <c r="U8" s="483">
        <f>Taulukko8[[#This Row],[Palvelut + toimintamenot, skaalattu siirtyvän rahoituksen tasoon]]*0.5</f>
        <v>120549.14140788566</v>
      </c>
    </row>
    <row r="9" spans="1:21">
      <c r="A9" s="465">
        <v>10</v>
      </c>
      <c r="B9" s="456" t="s">
        <v>14</v>
      </c>
      <c r="C9" s="459">
        <v>11102</v>
      </c>
      <c r="D9" s="459">
        <v>4530</v>
      </c>
      <c r="E9" s="459">
        <v>278</v>
      </c>
      <c r="F9" s="459">
        <v>104759</v>
      </c>
      <c r="G9" s="459">
        <v>26019.828601640533</v>
      </c>
      <c r="H9" s="459">
        <v>15611.897160984319</v>
      </c>
      <c r="I9" s="459">
        <v>42400.420511132193</v>
      </c>
      <c r="J9" s="459">
        <v>31289.345338645417</v>
      </c>
      <c r="K9" s="459">
        <v>3686.4374815082083</v>
      </c>
      <c r="L9" s="459">
        <v>121911.57</v>
      </c>
      <c r="M9" s="459">
        <v>79252.760000000009</v>
      </c>
      <c r="N9" s="459">
        <v>412782.43000000005</v>
      </c>
      <c r="O9" s="473">
        <f>SUM(Taulukko8[[#This Row],[Muiden kuin pakolaisten osuus kotoutumiskoulutuksista,  €]:[Palkkatuki, yksityinen, €]])</f>
        <v>706934.86049227021</v>
      </c>
      <c r="P9" s="459">
        <f>Taulukko8[[#This Row],[Palvelut yhteensä, €]]/Taulukko8[[#This Row],[Työttömät 2022]]</f>
        <v>2542.9311528498929</v>
      </c>
      <c r="Q9" s="473">
        <v>370218.52683985932</v>
      </c>
      <c r="R9" s="459">
        <f>Taulukko8[[#This Row],[Toimintamenot, arvio]]/Taulukko8[[#This Row],[Työttömät 2022]]</f>
        <v>1331.7213195678394</v>
      </c>
      <c r="S9" s="473">
        <f>Taulukko8[[#This Row],[Palvelut yhteensä, €]]+Taulukko8[[#This Row],[Toimintamenot, arvio]]</f>
        <v>1077153.3873321295</v>
      </c>
      <c r="T9" s="481">
        <f>(Taulukko8[[#This Row],[Palvelut + toimintamenot]]/$S$6)*$T$1</f>
        <v>1131913.5481409919</v>
      </c>
      <c r="U9" s="483">
        <f>Taulukko8[[#This Row],[Palvelut + toimintamenot, skaalattu siirtyvän rahoituksen tasoon]]*0.5</f>
        <v>565956.77407049597</v>
      </c>
    </row>
    <row r="10" spans="1:21">
      <c r="A10" s="465">
        <v>16</v>
      </c>
      <c r="B10" s="456" t="s">
        <v>15</v>
      </c>
      <c r="C10" s="459">
        <v>8014</v>
      </c>
      <c r="D10" s="459">
        <v>3256</v>
      </c>
      <c r="E10" s="459">
        <v>272</v>
      </c>
      <c r="F10" s="459">
        <v>88109</v>
      </c>
      <c r="G10" s="459">
        <v>67054.159617850004</v>
      </c>
      <c r="H10" s="459">
        <v>40232.495770710004</v>
      </c>
      <c r="I10" s="459">
        <v>32517.450634875273</v>
      </c>
      <c r="J10" s="459">
        <v>57553.328210059175</v>
      </c>
      <c r="K10" s="459">
        <v>3699.7267753303959</v>
      </c>
      <c r="L10" s="459">
        <v>142859.88</v>
      </c>
      <c r="M10" s="459">
        <v>61181.74</v>
      </c>
      <c r="N10" s="459">
        <v>206356.16</v>
      </c>
      <c r="O10" s="473">
        <f>SUM(Taulukko8[[#This Row],[Muiden kuin pakolaisten osuus kotoutumiskoulutuksista,  €]:[Palkkatuki, yksityinen, €]])</f>
        <v>544400.78139097488</v>
      </c>
      <c r="P10" s="459">
        <f>Taulukko8[[#This Row],[Palvelut yhteensä, €]]/Taulukko8[[#This Row],[Työttömät 2022]]</f>
        <v>2001.4734609962311</v>
      </c>
      <c r="Q10" s="473">
        <v>258916.55460646015</v>
      </c>
      <c r="R10" s="459">
        <f>Taulukko8[[#This Row],[Toimintamenot, arvio]]/Taulukko8[[#This Row],[Työttömät 2022]]</f>
        <v>951.89909781786821</v>
      </c>
      <c r="S10" s="473">
        <f>Taulukko8[[#This Row],[Palvelut yhteensä, €]]+Taulukko8[[#This Row],[Toimintamenot, arvio]]</f>
        <v>803317.33599743503</v>
      </c>
      <c r="T10" s="481">
        <f>(Taulukko8[[#This Row],[Palvelut + toimintamenot]]/$S$6)*$T$1</f>
        <v>844156.26109121356</v>
      </c>
      <c r="U10" s="483">
        <f>Taulukko8[[#This Row],[Palvelut + toimintamenot, skaalattu siirtyvän rahoituksen tasoon]]*0.5</f>
        <v>422078.13054560678</v>
      </c>
    </row>
    <row r="11" spans="1:21">
      <c r="A11" s="465">
        <v>18</v>
      </c>
      <c r="B11" s="456" t="s">
        <v>16</v>
      </c>
      <c r="C11" s="459">
        <v>4763</v>
      </c>
      <c r="D11" s="459">
        <v>2394</v>
      </c>
      <c r="E11" s="459">
        <v>162</v>
      </c>
      <c r="F11" s="459">
        <v>51172</v>
      </c>
      <c r="G11" s="459">
        <v>32920.684803286757</v>
      </c>
      <c r="H11" s="459">
        <v>19752.410881972053</v>
      </c>
      <c r="I11" s="459">
        <v>17330.767555459148</v>
      </c>
      <c r="J11" s="459">
        <v>24775.101255394271</v>
      </c>
      <c r="K11" s="459">
        <v>4310.8191334941939</v>
      </c>
      <c r="L11" s="459">
        <v>34363.25</v>
      </c>
      <c r="M11" s="459">
        <v>22798.9</v>
      </c>
      <c r="N11" s="459">
        <v>57071.839999999997</v>
      </c>
      <c r="O11" s="473">
        <f>SUM(Taulukko8[[#This Row],[Muiden kuin pakolaisten osuus kotoutumiskoulutuksista,  €]:[Palkkatuki, yksityinen, €]])</f>
        <v>180403.08882631967</v>
      </c>
      <c r="P11" s="459">
        <f>Taulukko8[[#This Row],[Palvelut yhteensä, €]]/Taulukko8[[#This Row],[Työttömät 2022]]</f>
        <v>1113.599313742714</v>
      </c>
      <c r="Q11" s="473">
        <v>152788.07955623622</v>
      </c>
      <c r="R11" s="459">
        <f>Taulukko8[[#This Row],[Toimintamenot, arvio]]/Taulukko8[[#This Row],[Työttömät 2022]]</f>
        <v>943.13629355701369</v>
      </c>
      <c r="S11" s="473">
        <f>Taulukko8[[#This Row],[Palvelut yhteensä, €]]+Taulukko8[[#This Row],[Toimintamenot, arvio]]</f>
        <v>333191.16838255589</v>
      </c>
      <c r="T11" s="481">
        <f>(Taulukko8[[#This Row],[Palvelut + toimintamenot]]/$S$6)*$T$1</f>
        <v>350129.89055091102</v>
      </c>
      <c r="U11" s="483">
        <f>Taulukko8[[#This Row],[Palvelut + toimintamenot, skaalattu siirtyvän rahoituksen tasoon]]*0.5</f>
        <v>175064.94527545551</v>
      </c>
    </row>
    <row r="12" spans="1:21">
      <c r="A12" s="465">
        <v>19</v>
      </c>
      <c r="B12" s="456" t="s">
        <v>17</v>
      </c>
      <c r="C12" s="459">
        <v>3965</v>
      </c>
      <c r="D12" s="459">
        <v>1913</v>
      </c>
      <c r="E12" s="459">
        <v>105</v>
      </c>
      <c r="F12" s="459">
        <v>34112</v>
      </c>
      <c r="G12" s="459">
        <v>45064.278686102349</v>
      </c>
      <c r="H12" s="459">
        <v>27038.567211661408</v>
      </c>
      <c r="I12" s="459">
        <v>28830.556644787317</v>
      </c>
      <c r="J12" s="459">
        <v>7588.1531542288549</v>
      </c>
      <c r="K12" s="459">
        <v>987.45930232558146</v>
      </c>
      <c r="L12" s="459">
        <v>31639.46</v>
      </c>
      <c r="M12" s="459">
        <v>48305.88</v>
      </c>
      <c r="N12" s="459">
        <v>54871.41</v>
      </c>
      <c r="O12" s="473">
        <f>SUM(Taulukko8[[#This Row],[Muiden kuin pakolaisten osuus kotoutumiskoulutuksista,  €]:[Palkkatuki, yksityinen, €]])</f>
        <v>199261.48631300317</v>
      </c>
      <c r="P12" s="459">
        <f>Taulukko8[[#This Row],[Palvelut yhteensä, €]]/Taulukko8[[#This Row],[Työttömät 2022]]</f>
        <v>1897.7284410762206</v>
      </c>
      <c r="Q12" s="473">
        <v>95746.425503140345</v>
      </c>
      <c r="R12" s="459">
        <f>Taulukko8[[#This Row],[Toimintamenot, arvio]]/Taulukko8[[#This Row],[Työttömät 2022]]</f>
        <v>911.87071907752704</v>
      </c>
      <c r="S12" s="473">
        <f>Taulukko8[[#This Row],[Palvelut yhteensä, €]]+Taulukko8[[#This Row],[Toimintamenot, arvio]]</f>
        <v>295007.91181614355</v>
      </c>
      <c r="T12" s="481">
        <f>(Taulukko8[[#This Row],[Palvelut + toimintamenot]]/$S$6)*$T$1</f>
        <v>310005.47936866299</v>
      </c>
      <c r="U12" s="483">
        <f>Taulukko8[[#This Row],[Palvelut + toimintamenot, skaalattu siirtyvän rahoituksen tasoon]]*0.5</f>
        <v>155002.73968433149</v>
      </c>
    </row>
    <row r="13" spans="1:21">
      <c r="A13" s="465">
        <v>20</v>
      </c>
      <c r="B13" s="456" t="s">
        <v>18</v>
      </c>
      <c r="C13" s="459">
        <v>16473</v>
      </c>
      <c r="D13" s="459">
        <v>7598</v>
      </c>
      <c r="E13" s="459">
        <v>601</v>
      </c>
      <c r="F13" s="459">
        <v>216893</v>
      </c>
      <c r="G13" s="459">
        <v>72981.848255429315</v>
      </c>
      <c r="H13" s="459">
        <v>43789.108953257586</v>
      </c>
      <c r="I13" s="459">
        <v>106259.27450596864</v>
      </c>
      <c r="J13" s="459">
        <v>26068.025471698114</v>
      </c>
      <c r="K13" s="459">
        <v>5274.5822923899777</v>
      </c>
      <c r="L13" s="459">
        <v>288982.16000000003</v>
      </c>
      <c r="M13" s="459">
        <v>195364.58000000002</v>
      </c>
      <c r="N13" s="459">
        <v>411741.98</v>
      </c>
      <c r="O13" s="473">
        <f>SUM(Taulukko8[[#This Row],[Muiden kuin pakolaisten osuus kotoutumiskoulutuksista,  €]:[Palkkatuki, yksityinen, €]])</f>
        <v>1077479.7112233143</v>
      </c>
      <c r="P13" s="459">
        <f>Taulukko8[[#This Row],[Palvelut yhteensä, €]]/Taulukko8[[#This Row],[Työttömät 2022]]</f>
        <v>1792.8114995396245</v>
      </c>
      <c r="Q13" s="473">
        <v>594768.18769013672</v>
      </c>
      <c r="R13" s="459">
        <f>Taulukko8[[#This Row],[Toimintamenot, arvio]]/Taulukko8[[#This Row],[Työttömät 2022]]</f>
        <v>989.63092793699957</v>
      </c>
      <c r="S13" s="473">
        <f>Taulukko8[[#This Row],[Palvelut yhteensä, €]]+Taulukko8[[#This Row],[Toimintamenot, arvio]]</f>
        <v>1672247.898913451</v>
      </c>
      <c r="T13" s="481">
        <f>(Taulukko8[[#This Row],[Palvelut + toimintamenot]]/$S$6)*$T$1</f>
        <v>1757261.38439632</v>
      </c>
      <c r="U13" s="483">
        <f>Taulukko8[[#This Row],[Palvelut + toimintamenot, skaalattu siirtyvän rahoituksen tasoon]]*0.5</f>
        <v>878630.69219815999</v>
      </c>
    </row>
    <row r="14" spans="1:21">
      <c r="A14" s="465">
        <v>46</v>
      </c>
      <c r="B14" s="456" t="s">
        <v>19</v>
      </c>
      <c r="C14" s="459">
        <v>1341</v>
      </c>
      <c r="D14" s="459">
        <v>520</v>
      </c>
      <c r="E14" s="459">
        <v>50</v>
      </c>
      <c r="F14" s="459">
        <v>19212</v>
      </c>
      <c r="G14" s="459">
        <v>2829.2433907848654</v>
      </c>
      <c r="H14" s="459">
        <v>1697.5460344709193</v>
      </c>
      <c r="I14" s="459">
        <v>5381.9686877703771</v>
      </c>
      <c r="J14" s="459">
        <v>8678.9098245614041</v>
      </c>
      <c r="K14" s="459">
        <v>4522.2338461538466</v>
      </c>
      <c r="L14" s="459">
        <v>55101.91</v>
      </c>
      <c r="M14" s="459">
        <v>13338.8</v>
      </c>
      <c r="N14" s="459">
        <v>57214.649999999994</v>
      </c>
      <c r="O14" s="473">
        <f>SUM(Taulukko8[[#This Row],[Muiden kuin pakolaisten osuus kotoutumiskoulutuksista,  €]:[Palkkatuki, yksityinen, €]])</f>
        <v>145936.01839295652</v>
      </c>
      <c r="P14" s="459">
        <f>Taulukko8[[#This Row],[Palvelut yhteensä, €]]/Taulukko8[[#This Row],[Työttömät 2022]]</f>
        <v>2918.7203678591304</v>
      </c>
      <c r="Q14" s="473">
        <v>61598.580656804821</v>
      </c>
      <c r="R14" s="459">
        <f>Taulukko8[[#This Row],[Toimintamenot, arvio]]/Taulukko8[[#This Row],[Työttömät 2022]]</f>
        <v>1231.9716131360965</v>
      </c>
      <c r="S14" s="473">
        <f>Taulukko8[[#This Row],[Palvelut yhteensä, €]]+Taulukko8[[#This Row],[Toimintamenot, arvio]]</f>
        <v>207534.59904976134</v>
      </c>
      <c r="T14" s="481">
        <f>(Taulukko8[[#This Row],[Palvelut + toimintamenot]]/$S$6)*$T$1</f>
        <v>218085.21157256592</v>
      </c>
      <c r="U14" s="483">
        <f>Taulukko8[[#This Row],[Palvelut + toimintamenot, skaalattu siirtyvän rahoituksen tasoon]]*0.5</f>
        <v>109042.60578628296</v>
      </c>
    </row>
    <row r="15" spans="1:21">
      <c r="A15" s="465">
        <v>47</v>
      </c>
      <c r="B15" s="456" t="s">
        <v>20</v>
      </c>
      <c r="C15" s="459">
        <v>1811</v>
      </c>
      <c r="D15" s="459">
        <v>869</v>
      </c>
      <c r="E15" s="459">
        <v>111</v>
      </c>
      <c r="F15" s="459">
        <v>32152</v>
      </c>
      <c r="G15" s="459">
        <v>6992.9939087682751</v>
      </c>
      <c r="H15" s="459">
        <v>4195.7963452609647</v>
      </c>
      <c r="I15" s="459">
        <v>14222.930568814509</v>
      </c>
      <c r="J15" s="459">
        <v>17940.820865979385</v>
      </c>
      <c r="K15" s="459">
        <v>5627.4311171921481</v>
      </c>
      <c r="L15" s="459">
        <v>32312.449999999997</v>
      </c>
      <c r="M15" s="459">
        <v>25219.7</v>
      </c>
      <c r="N15" s="459">
        <v>66874.31</v>
      </c>
      <c r="O15" s="473">
        <f>SUM(Taulukko8[[#This Row],[Muiden kuin pakolaisten osuus kotoutumiskoulutuksista,  €]:[Palkkatuki, yksityinen, €]])</f>
        <v>166393.43889724702</v>
      </c>
      <c r="P15" s="459">
        <f>Taulukko8[[#This Row],[Palvelut yhteensä, €]]/Taulukko8[[#This Row],[Työttömät 2022]]</f>
        <v>1499.0399900652885</v>
      </c>
      <c r="Q15" s="473">
        <v>114818.3009881771</v>
      </c>
      <c r="R15" s="459">
        <f>Taulukko8[[#This Row],[Toimintamenot, arvio]]/Taulukko8[[#This Row],[Työttömät 2022]]</f>
        <v>1034.3991080015956</v>
      </c>
      <c r="S15" s="473">
        <f>Taulukko8[[#This Row],[Palvelut yhteensä, €]]+Taulukko8[[#This Row],[Toimintamenot, arvio]]</f>
        <v>281211.73988542415</v>
      </c>
      <c r="T15" s="481">
        <f>(Taulukko8[[#This Row],[Palvelut + toimintamenot]]/$S$6)*$T$1</f>
        <v>295507.93973826617</v>
      </c>
      <c r="U15" s="483">
        <f>Taulukko8[[#This Row],[Palvelut + toimintamenot, skaalattu siirtyvän rahoituksen tasoon]]*0.5</f>
        <v>147753.96986913309</v>
      </c>
    </row>
    <row r="16" spans="1:21">
      <c r="A16" s="465">
        <v>49</v>
      </c>
      <c r="B16" s="456" t="s">
        <v>21</v>
      </c>
      <c r="C16" s="459">
        <v>305274</v>
      </c>
      <c r="D16" s="459">
        <v>153753</v>
      </c>
      <c r="E16" s="459">
        <v>12893</v>
      </c>
      <c r="F16" s="459">
        <v>4024434</v>
      </c>
      <c r="G16" s="459">
        <v>4448655.4307670398</v>
      </c>
      <c r="H16" s="459">
        <v>2669193.2584602237</v>
      </c>
      <c r="I16" s="459">
        <v>2341950.4686991544</v>
      </c>
      <c r="J16" s="459">
        <v>802713.28067477455</v>
      </c>
      <c r="K16" s="459">
        <v>343082.6610379052</v>
      </c>
      <c r="L16" s="459">
        <v>2065749.42</v>
      </c>
      <c r="M16" s="459">
        <v>2297144.8600000003</v>
      </c>
      <c r="N16" s="459">
        <v>3664374.5</v>
      </c>
      <c r="O16" s="473">
        <f>SUM(Taulukko8[[#This Row],[Muiden kuin pakolaisten osuus kotoutumiskoulutuksista,  €]:[Palkkatuki, yksityinen, €]])</f>
        <v>14184208.448872058</v>
      </c>
      <c r="P16" s="459">
        <f>Taulukko8[[#This Row],[Palvelut yhteensä, €]]/Taulukko8[[#This Row],[Työttömät 2022]]</f>
        <v>1100.1480220950948</v>
      </c>
      <c r="Q16" s="473">
        <v>12016054.525146995</v>
      </c>
      <c r="R16" s="459">
        <f>Taulukko8[[#This Row],[Toimintamenot, arvio]]/Taulukko8[[#This Row],[Työttömät 2022]]</f>
        <v>931.98282208539479</v>
      </c>
      <c r="S16" s="473">
        <f>Taulukko8[[#This Row],[Palvelut yhteensä, €]]+Taulukko8[[#This Row],[Toimintamenot, arvio]]</f>
        <v>26200262.974019051</v>
      </c>
      <c r="T16" s="481">
        <f>(Taulukko8[[#This Row],[Palvelut + toimintamenot]]/$S$6)*$T$1</f>
        <v>27532227.976000134</v>
      </c>
      <c r="U16" s="483">
        <f>Taulukko8[[#This Row],[Palvelut + toimintamenot, skaalattu siirtyvän rahoituksen tasoon]]*0.5</f>
        <v>13766113.988000067</v>
      </c>
    </row>
    <row r="17" spans="1:21">
      <c r="A17" s="465">
        <v>50</v>
      </c>
      <c r="B17" s="456" t="s">
        <v>22</v>
      </c>
      <c r="C17" s="459">
        <v>11276</v>
      </c>
      <c r="D17" s="459">
        <v>5100</v>
      </c>
      <c r="E17" s="459">
        <v>332</v>
      </c>
      <c r="F17" s="459">
        <v>112686</v>
      </c>
      <c r="G17" s="459">
        <v>43375.393870160107</v>
      </c>
      <c r="H17" s="459">
        <v>26025.236322096065</v>
      </c>
      <c r="I17" s="459">
        <v>104070.73377583697</v>
      </c>
      <c r="J17" s="459">
        <v>26996.070559006213</v>
      </c>
      <c r="K17" s="459">
        <v>9252.7713261319241</v>
      </c>
      <c r="L17" s="459">
        <v>32402.21</v>
      </c>
      <c r="M17" s="459">
        <v>41864.639999999999</v>
      </c>
      <c r="N17" s="459">
        <v>92130.559999999998</v>
      </c>
      <c r="O17" s="473">
        <f>SUM(Taulukko8[[#This Row],[Muiden kuin pakolaisten osuus kotoutumiskoulutuksista,  €]:[Palkkatuki, yksityinen, €]])</f>
        <v>332742.22198307118</v>
      </c>
      <c r="P17" s="459">
        <f>Taulukko8[[#This Row],[Palvelut yhteensä, €]]/Taulukko8[[#This Row],[Työttömät 2022]]</f>
        <v>1002.2356083827445</v>
      </c>
      <c r="Q17" s="473">
        <v>376727.8562076285</v>
      </c>
      <c r="R17" s="459">
        <f>Taulukko8[[#This Row],[Toimintamenot, arvio]]/Taulukko8[[#This Row],[Työttömät 2022]]</f>
        <v>1134.7224584567123</v>
      </c>
      <c r="S17" s="473">
        <f>Taulukko8[[#This Row],[Palvelut yhteensä, €]]+Taulukko8[[#This Row],[Toimintamenot, arvio]]</f>
        <v>709470.07819069969</v>
      </c>
      <c r="T17" s="481">
        <f>(Taulukko8[[#This Row],[Palvelut + toimintamenot]]/$S$6)*$T$1</f>
        <v>745538.01060190774</v>
      </c>
      <c r="U17" s="483">
        <f>Taulukko8[[#This Row],[Palvelut + toimintamenot, skaalattu siirtyvän rahoituksen tasoon]]*0.5</f>
        <v>372769.00530095387</v>
      </c>
    </row>
    <row r="18" spans="1:21">
      <c r="A18" s="465">
        <v>51</v>
      </c>
      <c r="B18" s="456" t="s">
        <v>23</v>
      </c>
      <c r="C18" s="459">
        <v>9211</v>
      </c>
      <c r="D18" s="459">
        <v>4160</v>
      </c>
      <c r="E18" s="459">
        <v>255</v>
      </c>
      <c r="F18" s="459">
        <v>89882</v>
      </c>
      <c r="G18" s="459">
        <v>21305.062903056765</v>
      </c>
      <c r="H18" s="459">
        <v>12783.037741834059</v>
      </c>
      <c r="I18" s="459">
        <v>51117.31172052402</v>
      </c>
      <c r="J18" s="459">
        <v>17997.380372670807</v>
      </c>
      <c r="K18" s="459">
        <v>7106.7972535049412</v>
      </c>
      <c r="L18" s="459">
        <v>92796.650000000009</v>
      </c>
      <c r="M18" s="459">
        <v>49470.579999999994</v>
      </c>
      <c r="N18" s="459">
        <v>94045.87</v>
      </c>
      <c r="O18" s="473">
        <f>SUM(Taulukko8[[#This Row],[Muiden kuin pakolaisten osuus kotoutumiskoulutuksista,  €]:[Palkkatuki, yksityinen, €]])</f>
        <v>325317.62708853383</v>
      </c>
      <c r="P18" s="459">
        <f>Taulukko8[[#This Row],[Palvelut yhteensä, €]]/Taulukko8[[#This Row],[Työttömät 2022]]</f>
        <v>1275.7554003471914</v>
      </c>
      <c r="Q18" s="473">
        <v>300490.32862692856</v>
      </c>
      <c r="R18" s="459">
        <f>Taulukko8[[#This Row],[Toimintamenot, arvio]]/Taulukko8[[#This Row],[Työttömät 2022]]</f>
        <v>1178.3934455957983</v>
      </c>
      <c r="S18" s="473">
        <f>Taulukko8[[#This Row],[Palvelut yhteensä, €]]+Taulukko8[[#This Row],[Toimintamenot, arvio]]</f>
        <v>625807.95571546233</v>
      </c>
      <c r="T18" s="481">
        <f>(Taulukko8[[#This Row],[Palvelut + toimintamenot]]/$S$6)*$T$1</f>
        <v>657622.68581190833</v>
      </c>
      <c r="U18" s="483">
        <f>Taulukko8[[#This Row],[Palvelut + toimintamenot, skaalattu siirtyvän rahoituksen tasoon]]*0.5</f>
        <v>328811.34290595417</v>
      </c>
    </row>
    <row r="19" spans="1:21">
      <c r="A19" s="465">
        <v>52</v>
      </c>
      <c r="B19" s="456" t="s">
        <v>24</v>
      </c>
      <c r="C19" s="459">
        <v>2346</v>
      </c>
      <c r="D19" s="459">
        <v>1005</v>
      </c>
      <c r="E19" s="459">
        <v>47</v>
      </c>
      <c r="F19" s="459">
        <v>16823</v>
      </c>
      <c r="G19" s="459">
        <v>181.95684336811564</v>
      </c>
      <c r="H19" s="459">
        <v>109.17410602086939</v>
      </c>
      <c r="I19" s="459">
        <v>296.50643714078461</v>
      </c>
      <c r="J19" s="459">
        <v>7822.3363346613542</v>
      </c>
      <c r="K19" s="459">
        <v>623.24662457153158</v>
      </c>
      <c r="L19" s="459">
        <v>2236.71</v>
      </c>
      <c r="M19" s="459">
        <v>16118.84</v>
      </c>
      <c r="N19" s="459">
        <v>43583.8</v>
      </c>
      <c r="O19" s="473">
        <f>SUM(Taulukko8[[#This Row],[Muiden kuin pakolaisten osuus kotoutumiskoulutuksista,  €]:[Palkkatuki, yksityinen, €]])</f>
        <v>70790.613502394539</v>
      </c>
      <c r="P19" s="459">
        <f>Taulukko8[[#This Row],[Palvelut yhteensä, €]]/Taulukko8[[#This Row],[Työttömät 2022]]</f>
        <v>1506.1832660083944</v>
      </c>
      <c r="Q19" s="473">
        <v>59452.517464150602</v>
      </c>
      <c r="R19" s="459">
        <f>Taulukko8[[#This Row],[Toimintamenot, arvio]]/Taulukko8[[#This Row],[Työttömät 2022]]</f>
        <v>1264.9471800883107</v>
      </c>
      <c r="S19" s="473">
        <f>Taulukko8[[#This Row],[Palvelut yhteensä, €]]+Taulukko8[[#This Row],[Toimintamenot, arvio]]</f>
        <v>130243.13096654514</v>
      </c>
      <c r="T19" s="481">
        <f>(Taulukko8[[#This Row],[Palvelut + toimintamenot]]/$S$6)*$T$1</f>
        <v>136864.41153796169</v>
      </c>
      <c r="U19" s="483">
        <f>Taulukko8[[#This Row],[Palvelut + toimintamenot, skaalattu siirtyvän rahoituksen tasoon]]*0.5</f>
        <v>68432.205768980843</v>
      </c>
    </row>
    <row r="20" spans="1:21">
      <c r="A20" s="465">
        <v>61</v>
      </c>
      <c r="B20" s="456" t="s">
        <v>25</v>
      </c>
      <c r="C20" s="459">
        <v>16459</v>
      </c>
      <c r="D20" s="459">
        <v>6973</v>
      </c>
      <c r="E20" s="459">
        <v>716</v>
      </c>
      <c r="F20" s="459">
        <v>243590</v>
      </c>
      <c r="G20" s="459">
        <v>153090.56295104724</v>
      </c>
      <c r="H20" s="459">
        <v>91854.337770628335</v>
      </c>
      <c r="I20" s="459">
        <v>74240.208986240978</v>
      </c>
      <c r="J20" s="459">
        <v>66079.747204142011</v>
      </c>
      <c r="K20" s="459">
        <v>9738.9866585903073</v>
      </c>
      <c r="L20" s="459">
        <v>485341.04000000004</v>
      </c>
      <c r="M20" s="459">
        <v>90253.78</v>
      </c>
      <c r="N20" s="459">
        <v>627466.10000000009</v>
      </c>
      <c r="O20" s="473">
        <f>SUM(Taulukko8[[#This Row],[Muiden kuin pakolaisten osuus kotoutumiskoulutuksista,  €]:[Palkkatuki, yksityinen, €]])</f>
        <v>1444974.2006196016</v>
      </c>
      <c r="P20" s="459">
        <f>Taulukko8[[#This Row],[Palvelut yhteensä, €]]/Taulukko8[[#This Row],[Työttömät 2022]]</f>
        <v>2018.120391926818</v>
      </c>
      <c r="Q20" s="473">
        <v>715812.04572277097</v>
      </c>
      <c r="R20" s="459">
        <f>Taulukko8[[#This Row],[Toimintamenot, arvio]]/Taulukko8[[#This Row],[Työttömät 2022]]</f>
        <v>999.7374940262165</v>
      </c>
      <c r="S20" s="473">
        <f>Taulukko8[[#This Row],[Palvelut yhteensä, €]]+Taulukko8[[#This Row],[Toimintamenot, arvio]]</f>
        <v>2160786.2463423726</v>
      </c>
      <c r="T20" s="481">
        <f>(Taulukko8[[#This Row],[Palvelut + toimintamenot]]/$S$6)*$T$1</f>
        <v>2270635.9703601855</v>
      </c>
      <c r="U20" s="483">
        <f>Taulukko8[[#This Row],[Palvelut + toimintamenot, skaalattu siirtyvän rahoituksen tasoon]]*0.5</f>
        <v>1135317.9851800927</v>
      </c>
    </row>
    <row r="21" spans="1:21">
      <c r="A21" s="465">
        <v>69</v>
      </c>
      <c r="B21" s="456" t="s">
        <v>26</v>
      </c>
      <c r="C21" s="459">
        <v>6687</v>
      </c>
      <c r="D21" s="459">
        <v>2862</v>
      </c>
      <c r="E21" s="459">
        <v>220</v>
      </c>
      <c r="F21" s="459">
        <v>70956</v>
      </c>
      <c r="G21" s="459">
        <v>1384.4217573025721</v>
      </c>
      <c r="H21" s="459">
        <v>830.65305438154326</v>
      </c>
      <c r="I21" s="459">
        <v>3811.7444064236784</v>
      </c>
      <c r="J21" s="459">
        <v>3222.3532947976878</v>
      </c>
      <c r="K21" s="459">
        <v>2548.6867710727456</v>
      </c>
      <c r="L21" s="459">
        <v>134684.97</v>
      </c>
      <c r="M21" s="459">
        <v>16074.12</v>
      </c>
      <c r="N21" s="459">
        <v>102434.4</v>
      </c>
      <c r="O21" s="473">
        <f>SUM(Taulukko8[[#This Row],[Muiden kuin pakolaisten osuus kotoutumiskoulutuksista,  €]:[Palkkatuki, yksityinen, €]])</f>
        <v>263606.92752667563</v>
      </c>
      <c r="P21" s="459">
        <f>Taulukko8[[#This Row],[Palvelut yhteensä, €]]/Taulukko8[[#This Row],[Työttömät 2022]]</f>
        <v>1198.2133069394347</v>
      </c>
      <c r="Q21" s="473">
        <v>201131.05399842598</v>
      </c>
      <c r="R21" s="459">
        <f>Taulukko8[[#This Row],[Toimintamenot, arvio]]/Taulukko8[[#This Row],[Työttömät 2022]]</f>
        <v>914.23206362920905</v>
      </c>
      <c r="S21" s="473">
        <f>Taulukko8[[#This Row],[Palvelut yhteensä, €]]+Taulukko8[[#This Row],[Toimintamenot, arvio]]</f>
        <v>464737.98152510158</v>
      </c>
      <c r="T21" s="481">
        <f>(Taulukko8[[#This Row],[Palvelut + toimintamenot]]/$S$6)*$T$1</f>
        <v>488364.26066194079</v>
      </c>
      <c r="U21" s="483">
        <f>Taulukko8[[#This Row],[Palvelut + toimintamenot, skaalattu siirtyvän rahoituksen tasoon]]*0.5</f>
        <v>244182.13033097039</v>
      </c>
    </row>
    <row r="22" spans="1:21">
      <c r="A22" s="465">
        <v>71</v>
      </c>
      <c r="B22" s="456" t="s">
        <v>27</v>
      </c>
      <c r="C22" s="459">
        <v>6591</v>
      </c>
      <c r="D22" s="459">
        <v>2741</v>
      </c>
      <c r="E22" s="459">
        <v>203</v>
      </c>
      <c r="F22" s="459">
        <v>72914</v>
      </c>
      <c r="G22" s="459">
        <v>12363.208251260179</v>
      </c>
      <c r="H22" s="459">
        <v>7417.9249507561071</v>
      </c>
      <c r="I22" s="459">
        <v>34039.76400155099</v>
      </c>
      <c r="J22" s="459">
        <v>1611.1766473988439</v>
      </c>
      <c r="K22" s="459">
        <v>2351.7427933080339</v>
      </c>
      <c r="L22" s="459">
        <v>135547.14000000001</v>
      </c>
      <c r="M22" s="459">
        <v>17142.34</v>
      </c>
      <c r="N22" s="459">
        <v>82260.39</v>
      </c>
      <c r="O22" s="473">
        <f>SUM(Taulukko8[[#This Row],[Muiden kuin pakolaisten osuus kotoutumiskoulutuksista,  €]:[Palkkatuki, yksityinen, €]])</f>
        <v>280370.478393014</v>
      </c>
      <c r="P22" s="459">
        <f>Taulukko8[[#This Row],[Palvelut yhteensä, €]]/Taulukko8[[#This Row],[Työttömät 2022]]</f>
        <v>1381.1353615419409</v>
      </c>
      <c r="Q22" s="473">
        <v>206681.17807149826</v>
      </c>
      <c r="R22" s="459">
        <f>Taulukko8[[#This Row],[Toimintamenot, arvio]]/Taulukko8[[#This Row],[Työttömät 2022]]</f>
        <v>1018.1338821256072</v>
      </c>
      <c r="S22" s="473">
        <f>Taulukko8[[#This Row],[Palvelut yhteensä, €]]+Taulukko8[[#This Row],[Toimintamenot, arvio]]</f>
        <v>487051.65646451223</v>
      </c>
      <c r="T22" s="481">
        <f>(Taulukko8[[#This Row],[Palvelut + toimintamenot]]/$S$6)*$T$1</f>
        <v>511812.31482931378</v>
      </c>
      <c r="U22" s="483">
        <f>Taulukko8[[#This Row],[Palvelut + toimintamenot, skaalattu siirtyvän rahoituksen tasoon]]*0.5</f>
        <v>255906.15741465689</v>
      </c>
    </row>
    <row r="23" spans="1:21">
      <c r="A23" s="465">
        <v>72</v>
      </c>
      <c r="B23" s="456" t="s">
        <v>28</v>
      </c>
      <c r="C23" s="459">
        <v>960</v>
      </c>
      <c r="D23" s="459">
        <v>371</v>
      </c>
      <c r="E23" s="459">
        <v>30</v>
      </c>
      <c r="F23" s="459">
        <v>10176</v>
      </c>
      <c r="G23" s="459">
        <v>5119.140916537418</v>
      </c>
      <c r="H23" s="459">
        <v>3071.4845499224507</v>
      </c>
      <c r="I23" s="459">
        <v>14094.589781892206</v>
      </c>
      <c r="J23" s="459">
        <v>0</v>
      </c>
      <c r="K23" s="459">
        <v>347.54819605537443</v>
      </c>
      <c r="L23" s="459">
        <v>32311.59</v>
      </c>
      <c r="M23" s="459">
        <v>4477.5200000000004</v>
      </c>
      <c r="N23" s="459">
        <v>10805.810000000001</v>
      </c>
      <c r="O23" s="473">
        <f>SUM(Taulukko8[[#This Row],[Muiden kuin pakolaisten osuus kotoutumiskoulutuksista,  €]:[Palkkatuki, yksityinen, €]])</f>
        <v>65108.542527870028</v>
      </c>
      <c r="P23" s="459">
        <f>Taulukko8[[#This Row],[Palvelut yhteensä, €]]/Taulukko8[[#This Row],[Työttömät 2022]]</f>
        <v>2170.2847509290009</v>
      </c>
      <c r="Q23" s="473">
        <v>28844.771484976362</v>
      </c>
      <c r="R23" s="459">
        <f>Taulukko8[[#This Row],[Toimintamenot, arvio]]/Taulukko8[[#This Row],[Työttömät 2022]]</f>
        <v>961.49238283254533</v>
      </c>
      <c r="S23" s="473">
        <f>Taulukko8[[#This Row],[Palvelut yhteensä, €]]+Taulukko8[[#This Row],[Toimintamenot, arvio]]</f>
        <v>93953.314012846386</v>
      </c>
      <c r="T23" s="481">
        <f>(Taulukko8[[#This Row],[Palvelut + toimintamenot]]/$S$6)*$T$1</f>
        <v>98729.698364764743</v>
      </c>
      <c r="U23" s="483">
        <f>Taulukko8[[#This Row],[Palvelut + toimintamenot, skaalattu siirtyvän rahoituksen tasoon]]*0.5</f>
        <v>49364.849182382372</v>
      </c>
    </row>
    <row r="24" spans="1:21">
      <c r="A24" s="465">
        <v>74</v>
      </c>
      <c r="B24" s="456" t="s">
        <v>29</v>
      </c>
      <c r="C24" s="459">
        <v>1052</v>
      </c>
      <c r="D24" s="459">
        <v>429</v>
      </c>
      <c r="E24" s="459">
        <v>33</v>
      </c>
      <c r="F24" s="459">
        <v>9136</v>
      </c>
      <c r="G24" s="459">
        <v>7041.9797527903338</v>
      </c>
      <c r="H24" s="459">
        <v>4225.1878516741999</v>
      </c>
      <c r="I24" s="459">
        <v>18801.680749008396</v>
      </c>
      <c r="J24" s="459">
        <v>0</v>
      </c>
      <c r="K24" s="459">
        <v>1435.4908523569522</v>
      </c>
      <c r="L24" s="459">
        <v>0</v>
      </c>
      <c r="M24" s="459">
        <v>7137.8799999999992</v>
      </c>
      <c r="N24" s="459">
        <v>3381.5099999999998</v>
      </c>
      <c r="O24" s="473">
        <f>SUM(Taulukko8[[#This Row],[Muiden kuin pakolaisten osuus kotoutumiskoulutuksista,  €]:[Palkkatuki, yksityinen, €]])</f>
        <v>34981.749453039549</v>
      </c>
      <c r="P24" s="459">
        <f>Taulukko8[[#This Row],[Palvelut yhteensä, €]]/Taulukko8[[#This Row],[Työttömät 2022]]</f>
        <v>1060.0530137284711</v>
      </c>
      <c r="Q24" s="473">
        <v>29288.765275922298</v>
      </c>
      <c r="R24" s="459">
        <f>Taulukko8[[#This Row],[Toimintamenot, arvio]]/Taulukko8[[#This Row],[Työttömät 2022]]</f>
        <v>887.53834169461516</v>
      </c>
      <c r="S24" s="473">
        <f>Taulukko8[[#This Row],[Palvelut yhteensä, €]]+Taulukko8[[#This Row],[Toimintamenot, arvio]]</f>
        <v>64270.514728961847</v>
      </c>
      <c r="T24" s="481">
        <f>(Taulukko8[[#This Row],[Palvelut + toimintamenot]]/$S$6)*$T$1</f>
        <v>67537.889425283647</v>
      </c>
      <c r="U24" s="483">
        <f>Taulukko8[[#This Row],[Palvelut + toimintamenot, skaalattu siirtyvän rahoituksen tasoon]]*0.5</f>
        <v>33768.944712641824</v>
      </c>
    </row>
    <row r="25" spans="1:21">
      <c r="A25" s="465">
        <v>75</v>
      </c>
      <c r="B25" s="456" t="s">
        <v>30</v>
      </c>
      <c r="C25" s="459">
        <v>19549</v>
      </c>
      <c r="D25" s="459">
        <v>8614</v>
      </c>
      <c r="E25" s="459">
        <v>924</v>
      </c>
      <c r="F25" s="459">
        <v>314248</v>
      </c>
      <c r="G25" s="459">
        <v>123458.19314136126</v>
      </c>
      <c r="H25" s="459">
        <v>74074.915884816757</v>
      </c>
      <c r="I25" s="459">
        <v>159640.69099476439</v>
      </c>
      <c r="J25" s="459">
        <v>88743.40603773584</v>
      </c>
      <c r="K25" s="459">
        <v>9206.3780980661995</v>
      </c>
      <c r="L25" s="459">
        <v>599719.57000000007</v>
      </c>
      <c r="M25" s="459">
        <v>120668.22</v>
      </c>
      <c r="N25" s="459">
        <v>924296.86</v>
      </c>
      <c r="O25" s="473">
        <f>SUM(Taulukko8[[#This Row],[Muiden kuin pakolaisten osuus kotoutumiskoulutuksista,  €]:[Palkkatuki, yksityinen, €]])</f>
        <v>1976350.0410153833</v>
      </c>
      <c r="P25" s="459">
        <f>Taulukko8[[#This Row],[Palvelut yhteensä, €]]/Taulukko8[[#This Row],[Työttömät 2022]]</f>
        <v>2138.9069707958693</v>
      </c>
      <c r="Q25" s="473">
        <v>1003236.9879012806</v>
      </c>
      <c r="R25" s="459">
        <f>Taulukko8[[#This Row],[Toimintamenot, arvio]]/Taulukko8[[#This Row],[Työttömät 2022]]</f>
        <v>1085.7543159104769</v>
      </c>
      <c r="S25" s="473">
        <f>Taulukko8[[#This Row],[Palvelut yhteensä, €]]+Taulukko8[[#This Row],[Toimintamenot, arvio]]</f>
        <v>2979587.028916664</v>
      </c>
      <c r="T25" s="481">
        <f>(Taulukko8[[#This Row],[Palvelut + toimintamenot]]/$S$6)*$T$1</f>
        <v>3131062.8231409159</v>
      </c>
      <c r="U25" s="483">
        <f>Taulukko8[[#This Row],[Palvelut + toimintamenot, skaalattu siirtyvän rahoituksen tasoon]]*0.5</f>
        <v>1565531.411570458</v>
      </c>
    </row>
    <row r="26" spans="1:21">
      <c r="A26" s="465">
        <v>77</v>
      </c>
      <c r="B26" s="456" t="s">
        <v>31</v>
      </c>
      <c r="C26" s="459">
        <v>4601</v>
      </c>
      <c r="D26" s="459">
        <v>1847</v>
      </c>
      <c r="E26" s="459">
        <v>196</v>
      </c>
      <c r="F26" s="459">
        <v>65358</v>
      </c>
      <c r="G26" s="459">
        <v>12966.080775283579</v>
      </c>
      <c r="H26" s="459">
        <v>7779.6484651701467</v>
      </c>
      <c r="I26" s="459">
        <v>44942.28845726743</v>
      </c>
      <c r="J26" s="459">
        <v>3332.4806607929518</v>
      </c>
      <c r="K26" s="459">
        <v>2369.2850027886225</v>
      </c>
      <c r="L26" s="459">
        <v>144728.76999999999</v>
      </c>
      <c r="M26" s="459">
        <v>40209.18</v>
      </c>
      <c r="N26" s="459">
        <v>136520.76</v>
      </c>
      <c r="O26" s="473">
        <f>SUM(Taulukko8[[#This Row],[Muiden kuin pakolaisten osuus kotoutumiskoulutuksista,  €]:[Palkkatuki, yksityinen, €]])</f>
        <v>379882.41258601914</v>
      </c>
      <c r="P26" s="459">
        <f>Taulukko8[[#This Row],[Palvelut yhteensä, €]]/Taulukko8[[#This Row],[Työttömät 2022]]</f>
        <v>1938.175574418465</v>
      </c>
      <c r="Q26" s="473">
        <v>188656.2275316522</v>
      </c>
      <c r="R26" s="459">
        <f>Taulukko8[[#This Row],[Toimintamenot, arvio]]/Taulukko8[[#This Row],[Työttömät 2022]]</f>
        <v>962.53177312067453</v>
      </c>
      <c r="S26" s="473">
        <f>Taulukko8[[#This Row],[Palvelut yhteensä, €]]+Taulukko8[[#This Row],[Toimintamenot, arvio]]</f>
        <v>568538.64011767134</v>
      </c>
      <c r="T26" s="481">
        <f>(Taulukko8[[#This Row],[Palvelut + toimintamenot]]/$S$6)*$T$1</f>
        <v>597441.92141914496</v>
      </c>
      <c r="U26" s="483">
        <f>Taulukko8[[#This Row],[Palvelut + toimintamenot, skaalattu siirtyvän rahoituksen tasoon]]*0.5</f>
        <v>298720.96070957248</v>
      </c>
    </row>
    <row r="27" spans="1:21">
      <c r="A27" s="465">
        <v>78</v>
      </c>
      <c r="B27" s="456" t="s">
        <v>32</v>
      </c>
      <c r="C27" s="459">
        <v>7832</v>
      </c>
      <c r="D27" s="459">
        <v>3484</v>
      </c>
      <c r="E27" s="459">
        <v>341</v>
      </c>
      <c r="F27" s="459">
        <v>110817</v>
      </c>
      <c r="G27" s="459">
        <v>15865.390266644221</v>
      </c>
      <c r="H27" s="459">
        <v>9519.2341599865322</v>
      </c>
      <c r="I27" s="459">
        <v>8352.177135161035</v>
      </c>
      <c r="J27" s="459">
        <v>7432.5303766182824</v>
      </c>
      <c r="K27" s="459">
        <v>9074.0081760587655</v>
      </c>
      <c r="L27" s="459">
        <v>110002.28</v>
      </c>
      <c r="M27" s="459">
        <v>17413.7</v>
      </c>
      <c r="N27" s="459">
        <v>248912.63</v>
      </c>
      <c r="O27" s="473">
        <f>SUM(Taulukko8[[#This Row],[Muiden kuin pakolaisten osuus kotoutumiskoulutuksista,  €]:[Palkkatuki, yksityinen, €]])</f>
        <v>410706.55984782462</v>
      </c>
      <c r="P27" s="459">
        <f>Taulukko8[[#This Row],[Palvelut yhteensä, €]]/Taulukko8[[#This Row],[Työttömät 2022]]</f>
        <v>1204.4180640698669</v>
      </c>
      <c r="Q27" s="473">
        <v>330874.63089547865</v>
      </c>
      <c r="R27" s="459">
        <f>Taulukko8[[#This Row],[Toimintamenot, arvio]]/Taulukko8[[#This Row],[Työttömät 2022]]</f>
        <v>970.30683547061187</v>
      </c>
      <c r="S27" s="473">
        <f>Taulukko8[[#This Row],[Palvelut yhteensä, €]]+Taulukko8[[#This Row],[Toimintamenot, arvio]]</f>
        <v>741581.19074330328</v>
      </c>
      <c r="T27" s="481">
        <f>(Taulukko8[[#This Row],[Palvelut + toimintamenot]]/$S$6)*$T$1</f>
        <v>779281.58303238172</v>
      </c>
      <c r="U27" s="483">
        <f>Taulukko8[[#This Row],[Palvelut + toimintamenot, skaalattu siirtyvän rahoituksen tasoon]]*0.5</f>
        <v>389640.79151619086</v>
      </c>
    </row>
    <row r="28" spans="1:21">
      <c r="A28" s="465">
        <v>79</v>
      </c>
      <c r="B28" s="456" t="s">
        <v>33</v>
      </c>
      <c r="C28" s="459">
        <v>6753</v>
      </c>
      <c r="D28" s="459">
        <v>2791</v>
      </c>
      <c r="E28" s="459">
        <v>266</v>
      </c>
      <c r="F28" s="459">
        <v>102421</v>
      </c>
      <c r="G28" s="459">
        <v>53844.260986317313</v>
      </c>
      <c r="H28" s="459">
        <v>32306.556591790388</v>
      </c>
      <c r="I28" s="459">
        <v>129188.72315574964</v>
      </c>
      <c r="J28" s="459">
        <v>31495.415652173913</v>
      </c>
      <c r="K28" s="459">
        <v>7413.3649781659387</v>
      </c>
      <c r="L28" s="459">
        <v>30614.78</v>
      </c>
      <c r="M28" s="459">
        <v>32272.78</v>
      </c>
      <c r="N28" s="459">
        <v>61235.05</v>
      </c>
      <c r="O28" s="473">
        <f>SUM(Taulukko8[[#This Row],[Muiden kuin pakolaisten osuus kotoutumiskoulutuksista,  €]:[Palkkatuki, yksityinen, €]])</f>
        <v>324526.67037787987</v>
      </c>
      <c r="P28" s="459">
        <f>Taulukko8[[#This Row],[Palvelut yhteensä, €]]/Taulukko8[[#This Row],[Työttömät 2022]]</f>
        <v>1220.025076608571</v>
      </c>
      <c r="Q28" s="473">
        <v>342410.27066930692</v>
      </c>
      <c r="R28" s="459">
        <f>Taulukko8[[#This Row],[Toimintamenot, arvio]]/Taulukko8[[#This Row],[Työttömät 2022]]</f>
        <v>1287.2566566515297</v>
      </c>
      <c r="S28" s="473">
        <f>Taulukko8[[#This Row],[Palvelut yhteensä, €]]+Taulukko8[[#This Row],[Toimintamenot, arvio]]</f>
        <v>666936.94104718673</v>
      </c>
      <c r="T28" s="481">
        <f>(Taulukko8[[#This Row],[Palvelut + toimintamenot]]/$S$6)*$T$1</f>
        <v>700842.58027241414</v>
      </c>
      <c r="U28" s="483">
        <f>Taulukko8[[#This Row],[Palvelut + toimintamenot, skaalattu siirtyvän rahoituksen tasoon]]*0.5</f>
        <v>350421.29013620707</v>
      </c>
    </row>
    <row r="29" spans="1:21">
      <c r="A29" s="465">
        <v>81</v>
      </c>
      <c r="B29" s="456" t="s">
        <v>34</v>
      </c>
      <c r="C29" s="459">
        <v>2574</v>
      </c>
      <c r="D29" s="459">
        <v>1009</v>
      </c>
      <c r="E29" s="459">
        <v>117</v>
      </c>
      <c r="F29" s="459">
        <v>34751</v>
      </c>
      <c r="G29" s="459">
        <v>616.30661413465066</v>
      </c>
      <c r="H29" s="459">
        <v>369.78396848079041</v>
      </c>
      <c r="I29" s="459">
        <v>298.87362715878004</v>
      </c>
      <c r="J29" s="459">
        <v>6394.814245562131</v>
      </c>
      <c r="K29" s="459">
        <v>1591.4265908590307</v>
      </c>
      <c r="L29" s="459">
        <v>40496.14</v>
      </c>
      <c r="M29" s="459">
        <v>16849.939999999999</v>
      </c>
      <c r="N29" s="459">
        <v>219755.42</v>
      </c>
      <c r="O29" s="473">
        <f>SUM(Taulukko8[[#This Row],[Muiden kuin pakolaisten osuus kotoutumiskoulutuksista,  €]:[Palkkatuki, yksityinen, €]])</f>
        <v>285756.39843206073</v>
      </c>
      <c r="P29" s="459">
        <f>Taulukko8[[#This Row],[Palvelut yhteensä, €]]/Taulukko8[[#This Row],[Työttömät 2022]]</f>
        <v>2442.3623797612026</v>
      </c>
      <c r="Q29" s="473">
        <v>102119.07057314346</v>
      </c>
      <c r="R29" s="459">
        <f>Taulukko8[[#This Row],[Toimintamenot, arvio]]/Taulukko8[[#This Row],[Työttömät 2022]]</f>
        <v>872.81256900122617</v>
      </c>
      <c r="S29" s="473">
        <f>Taulukko8[[#This Row],[Palvelut yhteensä, €]]+Taulukko8[[#This Row],[Toimintamenot, arvio]]</f>
        <v>387875.46900520416</v>
      </c>
      <c r="T29" s="481">
        <f>(Taulukko8[[#This Row],[Palvelut + toimintamenot]]/$S$6)*$T$1</f>
        <v>407594.22336863336</v>
      </c>
      <c r="U29" s="483">
        <f>Taulukko8[[#This Row],[Palvelut + toimintamenot, skaalattu siirtyvän rahoituksen tasoon]]*0.5</f>
        <v>203797.11168431668</v>
      </c>
    </row>
    <row r="30" spans="1:21">
      <c r="A30" s="465">
        <v>82</v>
      </c>
      <c r="B30" s="456" t="s">
        <v>35</v>
      </c>
      <c r="C30" s="459">
        <v>9359</v>
      </c>
      <c r="D30" s="459">
        <v>4448</v>
      </c>
      <c r="E30" s="459">
        <v>256</v>
      </c>
      <c r="F30" s="459">
        <v>77848</v>
      </c>
      <c r="G30" s="459">
        <v>54851.288657983911</v>
      </c>
      <c r="H30" s="459">
        <v>32910.773194790345</v>
      </c>
      <c r="I30" s="459">
        <v>26599.752817131426</v>
      </c>
      <c r="J30" s="459">
        <v>10658.023742603551</v>
      </c>
      <c r="K30" s="459">
        <v>3482.0957885462553</v>
      </c>
      <c r="L30" s="459">
        <v>119815.23</v>
      </c>
      <c r="M30" s="459">
        <v>107949.81999999999</v>
      </c>
      <c r="N30" s="459">
        <v>125465.25</v>
      </c>
      <c r="O30" s="473">
        <f>SUM(Taulukko8[[#This Row],[Muiden kuin pakolaisten osuus kotoutumiskoulutuksista,  €]:[Palkkatuki, yksityinen, €]])</f>
        <v>426880.94554307155</v>
      </c>
      <c r="P30" s="459">
        <f>Taulukko8[[#This Row],[Palvelut yhteensä, €]]/Taulukko8[[#This Row],[Työttömät 2022]]</f>
        <v>1667.5036935276232</v>
      </c>
      <c r="Q30" s="473">
        <v>228763.64438370327</v>
      </c>
      <c r="R30" s="459">
        <f>Taulukko8[[#This Row],[Toimintamenot, arvio]]/Taulukko8[[#This Row],[Työttömät 2022]]</f>
        <v>893.6079858738409</v>
      </c>
      <c r="S30" s="473">
        <f>Taulukko8[[#This Row],[Palvelut yhteensä, €]]+Taulukko8[[#This Row],[Toimintamenot, arvio]]</f>
        <v>655644.58992677485</v>
      </c>
      <c r="T30" s="481">
        <f>(Taulukko8[[#This Row],[Palvelut + toimintamenot]]/$S$6)*$T$1</f>
        <v>688976.15031556517</v>
      </c>
      <c r="U30" s="483">
        <f>Taulukko8[[#This Row],[Palvelut + toimintamenot, skaalattu siirtyvän rahoituksen tasoon]]*0.5</f>
        <v>344488.07515778259</v>
      </c>
    </row>
    <row r="31" spans="1:21">
      <c r="A31" s="465">
        <v>86</v>
      </c>
      <c r="B31" s="456" t="s">
        <v>36</v>
      </c>
      <c r="C31" s="459">
        <v>8031</v>
      </c>
      <c r="D31" s="459">
        <v>3865</v>
      </c>
      <c r="E31" s="459">
        <v>257</v>
      </c>
      <c r="F31" s="459">
        <v>79990</v>
      </c>
      <c r="G31" s="459">
        <v>53618.675429714611</v>
      </c>
      <c r="H31" s="459">
        <v>32171.205257828766</v>
      </c>
      <c r="I31" s="459">
        <v>26002.005562813865</v>
      </c>
      <c r="J31" s="459">
        <v>27710.861730769233</v>
      </c>
      <c r="K31" s="459">
        <v>3495.6977252202641</v>
      </c>
      <c r="L31" s="459">
        <v>162830.72</v>
      </c>
      <c r="M31" s="459">
        <v>63007.42</v>
      </c>
      <c r="N31" s="459">
        <v>74031.22</v>
      </c>
      <c r="O31" s="473">
        <f>SUM(Taulukko8[[#This Row],[Muiden kuin pakolaisten osuus kotoutumiskoulutuksista,  €]:[Palkkatuki, yksityinen, €]])</f>
        <v>389249.13027663215</v>
      </c>
      <c r="P31" s="459">
        <f>Taulukko8[[#This Row],[Palvelut yhteensä, €]]/Taulukko8[[#This Row],[Työttömät 2022]]</f>
        <v>1514.5880555510978</v>
      </c>
      <c r="Q31" s="473">
        <v>235058.1121448518</v>
      </c>
      <c r="R31" s="459">
        <f>Taulukko8[[#This Row],[Toimintamenot, arvio]]/Taulukko8[[#This Row],[Työttömät 2022]]</f>
        <v>914.62300445467622</v>
      </c>
      <c r="S31" s="473">
        <f>Taulukko8[[#This Row],[Palvelut yhteensä, €]]+Taulukko8[[#This Row],[Toimintamenot, arvio]]</f>
        <v>624307.24242148397</v>
      </c>
      <c r="T31" s="481">
        <f>(Taulukko8[[#This Row],[Palvelut + toimintamenot]]/$S$6)*$T$1</f>
        <v>656045.67948271998</v>
      </c>
      <c r="U31" s="483">
        <f>Taulukko8[[#This Row],[Palvelut + toimintamenot, skaalattu siirtyvän rahoituksen tasoon]]*0.5</f>
        <v>328022.83974135999</v>
      </c>
    </row>
    <row r="32" spans="1:21">
      <c r="A32" s="465">
        <v>90</v>
      </c>
      <c r="B32" s="456" t="s">
        <v>37</v>
      </c>
      <c r="C32" s="459">
        <v>3061</v>
      </c>
      <c r="D32" s="459">
        <v>1191</v>
      </c>
      <c r="E32" s="459">
        <v>154</v>
      </c>
      <c r="F32" s="459">
        <v>49558</v>
      </c>
      <c r="G32" s="459">
        <v>19179.718728219734</v>
      </c>
      <c r="H32" s="459">
        <v>11507.831236931839</v>
      </c>
      <c r="I32" s="459">
        <v>35012.363349196239</v>
      </c>
      <c r="J32" s="459">
        <v>25053.784742268042</v>
      </c>
      <c r="K32" s="459">
        <v>1265.3118117854001</v>
      </c>
      <c r="L32" s="459">
        <v>159231.6</v>
      </c>
      <c r="M32" s="459">
        <v>25761.32</v>
      </c>
      <c r="N32" s="459">
        <v>52180.959999999999</v>
      </c>
      <c r="O32" s="473">
        <f>SUM(Taulukko8[[#This Row],[Muiden kuin pakolaisten osuus kotoutumiskoulutuksista,  €]:[Palkkatuki, yksityinen, €]])</f>
        <v>310013.17114018154</v>
      </c>
      <c r="P32" s="459">
        <f>Taulukko8[[#This Row],[Palvelut yhteensä, €]]/Taulukko8[[#This Row],[Työttömät 2022]]</f>
        <v>2013.0725398713087</v>
      </c>
      <c r="Q32" s="473">
        <v>131137.05709646808</v>
      </c>
      <c r="R32" s="459">
        <f>Taulukko8[[#This Row],[Toimintamenot, arvio]]/Taulukko8[[#This Row],[Työttömät 2022]]</f>
        <v>851.53933179524734</v>
      </c>
      <c r="S32" s="473">
        <f>Taulukko8[[#This Row],[Palvelut yhteensä, €]]+Taulukko8[[#This Row],[Toimintamenot, arvio]]</f>
        <v>441150.22823664965</v>
      </c>
      <c r="T32" s="481">
        <f>(Taulukko8[[#This Row],[Palvelut + toimintamenot]]/$S$6)*$T$1</f>
        <v>463577.35674333153</v>
      </c>
      <c r="U32" s="483">
        <f>Taulukko8[[#This Row],[Palvelut + toimintamenot, skaalattu siirtyvän rahoituksen tasoon]]*0.5</f>
        <v>231788.67837166577</v>
      </c>
    </row>
    <row r="33" spans="1:21">
      <c r="A33" s="465">
        <v>91</v>
      </c>
      <c r="B33" s="456" t="s">
        <v>38</v>
      </c>
      <c r="C33" s="459">
        <v>664028</v>
      </c>
      <c r="D33" s="459">
        <v>353085</v>
      </c>
      <c r="E33" s="459">
        <v>36650</v>
      </c>
      <c r="F33" s="459">
        <v>10651518</v>
      </c>
      <c r="G33" s="459">
        <v>8564402.0891056601</v>
      </c>
      <c r="H33" s="459">
        <v>5138641.2534633959</v>
      </c>
      <c r="I33" s="459">
        <v>4508644.4205121789</v>
      </c>
      <c r="J33" s="459">
        <v>2024125.7725657122</v>
      </c>
      <c r="K33" s="459">
        <v>975256.30396643328</v>
      </c>
      <c r="L33" s="459">
        <v>7428880.4000000004</v>
      </c>
      <c r="M33" s="459">
        <v>6007906.5099999998</v>
      </c>
      <c r="N33" s="459">
        <v>21444402.059999999</v>
      </c>
      <c r="O33" s="473">
        <f>SUM(Taulukko8[[#This Row],[Muiden kuin pakolaisten osuus kotoutumiskoulutuksista,  €]:[Palkkatuki, yksityinen, €]])</f>
        <v>47527856.720507711</v>
      </c>
      <c r="P33" s="459">
        <f>Taulukko8[[#This Row],[Palvelut yhteensä, €]]/Taulukko8[[#This Row],[Työttömät 2022]]</f>
        <v>1296.8037304367724</v>
      </c>
      <c r="Q33" s="473">
        <v>31803036.417937201</v>
      </c>
      <c r="R33" s="459">
        <f>Taulukko8[[#This Row],[Toimintamenot, arvio]]/Taulukko8[[#This Row],[Työttömät 2022]]</f>
        <v>867.74997047577631</v>
      </c>
      <c r="S33" s="473">
        <f>Taulukko8[[#This Row],[Palvelut yhteensä, €]]+Taulukko8[[#This Row],[Toimintamenot, arvio]]</f>
        <v>79330893.138444915</v>
      </c>
      <c r="T33" s="481">
        <f>(Taulukko8[[#This Row],[Palvelut + toimintamenot]]/$S$6)*$T$1</f>
        <v>83363905.07199274</v>
      </c>
      <c r="U33" s="483">
        <f>Taulukko8[[#This Row],[Palvelut + toimintamenot, skaalattu siirtyvän rahoituksen tasoon]]*0.5</f>
        <v>41681952.53599637</v>
      </c>
    </row>
    <row r="34" spans="1:21">
      <c r="A34" s="465">
        <v>92</v>
      </c>
      <c r="B34" s="456" t="s">
        <v>39</v>
      </c>
      <c r="C34" s="459">
        <v>242819</v>
      </c>
      <c r="D34" s="459">
        <v>128380</v>
      </c>
      <c r="E34" s="459">
        <v>14012</v>
      </c>
      <c r="F34" s="459">
        <v>4023104</v>
      </c>
      <c r="G34" s="459">
        <v>2979123.6573191183</v>
      </c>
      <c r="H34" s="459">
        <v>1787474.1943914709</v>
      </c>
      <c r="I34" s="459">
        <v>1568330.0615548634</v>
      </c>
      <c r="J34" s="459">
        <v>1736734.5980031388</v>
      </c>
      <c r="K34" s="459">
        <v>372859.2450525965</v>
      </c>
      <c r="L34" s="459">
        <v>2554280.23</v>
      </c>
      <c r="M34" s="459">
        <v>1996455.23</v>
      </c>
      <c r="N34" s="459">
        <v>3731434.62</v>
      </c>
      <c r="O34" s="473">
        <f>SUM(Taulukko8[[#This Row],[Muiden kuin pakolaisten osuus kotoutumiskoulutuksista,  €]:[Palkkatuki, yksityinen, €]])</f>
        <v>13747568.179002069</v>
      </c>
      <c r="P34" s="459">
        <f>Taulukko8[[#This Row],[Palvelut yhteensä, €]]/Taulukko8[[#This Row],[Työttömät 2022]]</f>
        <v>981.12818862418419</v>
      </c>
      <c r="Q34" s="473">
        <v>12012083.444364345</v>
      </c>
      <c r="R34" s="459">
        <f>Taulukko8[[#This Row],[Toimintamenot, arvio]]/Taulukko8[[#This Row],[Työttömät 2022]]</f>
        <v>857.27115646334175</v>
      </c>
      <c r="S34" s="473">
        <f>Taulukko8[[#This Row],[Palvelut yhteensä, €]]+Taulukko8[[#This Row],[Toimintamenot, arvio]]</f>
        <v>25759651.623366416</v>
      </c>
      <c r="T34" s="481">
        <f>(Taulukko8[[#This Row],[Palvelut + toimintamenot]]/$S$6)*$T$1</f>
        <v>27069216.892217841</v>
      </c>
      <c r="U34" s="483">
        <f>Taulukko8[[#This Row],[Palvelut + toimintamenot, skaalattu siirtyvän rahoituksen tasoon]]*0.5</f>
        <v>13534608.44610892</v>
      </c>
    </row>
    <row r="35" spans="1:21">
      <c r="A35" s="465">
        <v>97</v>
      </c>
      <c r="B35" s="456" t="s">
        <v>40</v>
      </c>
      <c r="C35" s="459">
        <v>2091</v>
      </c>
      <c r="D35" s="459">
        <v>847</v>
      </c>
      <c r="E35" s="459">
        <v>92</v>
      </c>
      <c r="F35" s="459">
        <v>28165</v>
      </c>
      <c r="G35" s="459">
        <v>8770.6545114330838</v>
      </c>
      <c r="H35" s="459">
        <v>5262.3927068598505</v>
      </c>
      <c r="I35" s="459">
        <v>16684.102932088172</v>
      </c>
      <c r="J35" s="459">
        <v>4339.454912280702</v>
      </c>
      <c r="K35" s="459">
        <v>8320.9102769230776</v>
      </c>
      <c r="L35" s="459">
        <v>24512.98</v>
      </c>
      <c r="M35" s="459">
        <v>13998.880000000001</v>
      </c>
      <c r="N35" s="459">
        <v>54035.18</v>
      </c>
      <c r="O35" s="473">
        <f>SUM(Taulukko8[[#This Row],[Muiden kuin pakolaisten osuus kotoutumiskoulutuksista,  €]:[Palkkatuki, yksityinen, €]])</f>
        <v>127153.90082815179</v>
      </c>
      <c r="P35" s="459">
        <f>Taulukko8[[#This Row],[Palvelut yhteensä, €]]/Taulukko8[[#This Row],[Työttömät 2022]]</f>
        <v>1382.107617697302</v>
      </c>
      <c r="Q35" s="473">
        <v>90304.186144019768</v>
      </c>
      <c r="R35" s="459">
        <f>Taulukko8[[#This Row],[Toimintamenot, arvio]]/Taulukko8[[#This Row],[Työttömät 2022]]</f>
        <v>981.5672406958671</v>
      </c>
      <c r="S35" s="473">
        <f>Taulukko8[[#This Row],[Palvelut yhteensä, €]]+Taulukko8[[#This Row],[Toimintamenot, arvio]]</f>
        <v>217458.08697217156</v>
      </c>
      <c r="T35" s="481">
        <f>(Taulukko8[[#This Row],[Palvelut + toimintamenot]]/$S$6)*$T$1</f>
        <v>228513.18827141853</v>
      </c>
      <c r="U35" s="483">
        <f>Taulukko8[[#This Row],[Palvelut + toimintamenot, skaalattu siirtyvän rahoituksen tasoon]]*0.5</f>
        <v>114256.59413570927</v>
      </c>
    </row>
    <row r="36" spans="1:21">
      <c r="A36" s="465">
        <v>98</v>
      </c>
      <c r="B36" s="456" t="s">
        <v>41</v>
      </c>
      <c r="C36" s="459">
        <v>22943</v>
      </c>
      <c r="D36" s="459">
        <v>10482</v>
      </c>
      <c r="E36" s="459">
        <v>791</v>
      </c>
      <c r="F36" s="459">
        <v>299543</v>
      </c>
      <c r="G36" s="459">
        <v>170840.19343812519</v>
      </c>
      <c r="H36" s="459">
        <v>102504.11606287511</v>
      </c>
      <c r="I36" s="459">
        <v>82847.769448413834</v>
      </c>
      <c r="J36" s="459">
        <v>110843.44692307693</v>
      </c>
      <c r="K36" s="459">
        <v>10759.131909140968</v>
      </c>
      <c r="L36" s="459">
        <v>522655.36</v>
      </c>
      <c r="M36" s="459">
        <v>129046.9</v>
      </c>
      <c r="N36" s="459">
        <v>702205.64</v>
      </c>
      <c r="O36" s="473">
        <f>SUM(Taulukko8[[#This Row],[Muiden kuin pakolaisten osuus kotoutumiskoulutuksista,  €]:[Palkkatuki, yksityinen, €]])</f>
        <v>1660862.3643435067</v>
      </c>
      <c r="P36" s="459">
        <f>Taulukko8[[#This Row],[Palvelut yhteensä, €]]/Taulukko8[[#This Row],[Työttömät 2022]]</f>
        <v>2099.6995756555079</v>
      </c>
      <c r="Q36" s="473">
        <v>880235.18047512614</v>
      </c>
      <c r="R36" s="459">
        <f>Taulukko8[[#This Row],[Toimintamenot, arvio]]/Taulukko8[[#This Row],[Työttömät 2022]]</f>
        <v>1112.813123230248</v>
      </c>
      <c r="S36" s="473">
        <f>Taulukko8[[#This Row],[Palvelut yhteensä, €]]+Taulukko8[[#This Row],[Toimintamenot, arvio]]</f>
        <v>2541097.5448186328</v>
      </c>
      <c r="T36" s="481">
        <f>(Taulukko8[[#This Row],[Palvelut + toimintamenot]]/$S$6)*$T$1</f>
        <v>2670281.4770438476</v>
      </c>
      <c r="U36" s="483">
        <f>Taulukko8[[#This Row],[Palvelut + toimintamenot, skaalattu siirtyvän rahoituksen tasoon]]*0.5</f>
        <v>1335140.7385219238</v>
      </c>
    </row>
    <row r="37" spans="1:21">
      <c r="A37" s="465">
        <v>102</v>
      </c>
      <c r="B37" s="456" t="s">
        <v>42</v>
      </c>
      <c r="C37" s="459">
        <v>9745</v>
      </c>
      <c r="D37" s="459">
        <v>4327</v>
      </c>
      <c r="E37" s="459">
        <v>269</v>
      </c>
      <c r="F37" s="459">
        <v>111779</v>
      </c>
      <c r="G37" s="459">
        <v>22866.209753711784</v>
      </c>
      <c r="H37" s="459">
        <v>13719.725852227069</v>
      </c>
      <c r="I37" s="459">
        <v>54862.976803493446</v>
      </c>
      <c r="J37" s="459">
        <v>13498.035279503107</v>
      </c>
      <c r="K37" s="459">
        <v>7496.9743576189385</v>
      </c>
      <c r="L37" s="459">
        <v>97058.12999999999</v>
      </c>
      <c r="M37" s="459">
        <v>77407.899999999994</v>
      </c>
      <c r="N37" s="459">
        <v>238017.22999999998</v>
      </c>
      <c r="O37" s="473">
        <f>SUM(Taulukko8[[#This Row],[Muiden kuin pakolaisten osuus kotoutumiskoulutuksista,  €]:[Palkkatuki, yksityinen, €]])</f>
        <v>502060.97229284252</v>
      </c>
      <c r="P37" s="459">
        <f>Taulukko8[[#This Row],[Palvelut yhteensä, €]]/Taulukko8[[#This Row],[Työttömät 2022]]</f>
        <v>1866.3976665161431</v>
      </c>
      <c r="Q37" s="473">
        <v>373695.60583419871</v>
      </c>
      <c r="R37" s="459">
        <f>Taulukko8[[#This Row],[Toimintamenot, arvio]]/Taulukko8[[#This Row],[Työttömät 2022]]</f>
        <v>1389.2029956661661</v>
      </c>
      <c r="S37" s="473">
        <f>Taulukko8[[#This Row],[Palvelut yhteensä, €]]+Taulukko8[[#This Row],[Toimintamenot, arvio]]</f>
        <v>875756.57812704123</v>
      </c>
      <c r="T37" s="481">
        <f>(Taulukko8[[#This Row],[Palvelut + toimintamenot]]/$S$6)*$T$1</f>
        <v>920278.1584438741</v>
      </c>
      <c r="U37" s="483">
        <f>Taulukko8[[#This Row],[Palvelut + toimintamenot, skaalattu siirtyvän rahoituksen tasoon]]*0.5</f>
        <v>460139.07922193705</v>
      </c>
    </row>
    <row r="38" spans="1:21">
      <c r="A38" s="465">
        <v>103</v>
      </c>
      <c r="B38" s="456" t="s">
        <v>43</v>
      </c>
      <c r="C38" s="459">
        <v>2161</v>
      </c>
      <c r="D38" s="459">
        <v>941</v>
      </c>
      <c r="E38" s="459">
        <v>95</v>
      </c>
      <c r="F38" s="459">
        <v>31440</v>
      </c>
      <c r="G38" s="459">
        <v>739.56793696158093</v>
      </c>
      <c r="H38" s="459">
        <v>443.74076217694852</v>
      </c>
      <c r="I38" s="459">
        <v>358.64835259053609</v>
      </c>
      <c r="J38" s="459">
        <v>6394.814245562131</v>
      </c>
      <c r="K38" s="459">
        <v>1292.1839840308369</v>
      </c>
      <c r="L38" s="459">
        <v>5251.82</v>
      </c>
      <c r="M38" s="459">
        <v>10950.099999999999</v>
      </c>
      <c r="N38" s="459">
        <v>40326.65</v>
      </c>
      <c r="O38" s="473">
        <f>SUM(Taulukko8[[#This Row],[Muiden kuin pakolaisten osuus kotoutumiskoulutuksista,  €]:[Palkkatuki, yksityinen, €]])</f>
        <v>65017.957344360453</v>
      </c>
      <c r="P38" s="459">
        <f>Taulukko8[[#This Row],[Palvelut yhteensä, €]]/Taulukko8[[#This Row],[Työttömät 2022]]</f>
        <v>684.39955099326789</v>
      </c>
      <c r="Q38" s="473">
        <v>92389.386746270044</v>
      </c>
      <c r="R38" s="459">
        <f>Taulukko8[[#This Row],[Toimintamenot, arvio]]/Taulukko8[[#This Row],[Työttömät 2022]]</f>
        <v>972.51986048705305</v>
      </c>
      <c r="S38" s="473">
        <f>Taulukko8[[#This Row],[Palvelut yhteensä, €]]+Taulukko8[[#This Row],[Toimintamenot, arvio]]</f>
        <v>157407.3440906305</v>
      </c>
      <c r="T38" s="481">
        <f>(Taulukko8[[#This Row],[Palvelut + toimintamenot]]/$S$6)*$T$1</f>
        <v>165409.59481580148</v>
      </c>
      <c r="U38" s="483">
        <f>Taulukko8[[#This Row],[Palvelut + toimintamenot, skaalattu siirtyvän rahoituksen tasoon]]*0.5</f>
        <v>82704.79740790074</v>
      </c>
    </row>
    <row r="39" spans="1:21">
      <c r="A39" s="465">
        <v>105</v>
      </c>
      <c r="B39" s="456" t="s">
        <v>44</v>
      </c>
      <c r="C39" s="459">
        <v>2094</v>
      </c>
      <c r="D39" s="459">
        <v>765</v>
      </c>
      <c r="E39" s="459">
        <v>90</v>
      </c>
      <c r="F39" s="459">
        <v>31625</v>
      </c>
      <c r="G39" s="459">
        <v>15804.154819964349</v>
      </c>
      <c r="H39" s="459">
        <v>9482.4928919786089</v>
      </c>
      <c r="I39" s="459">
        <v>16765.446672370766</v>
      </c>
      <c r="J39" s="459">
        <v>0</v>
      </c>
      <c r="K39" s="459">
        <v>598.97707006369421</v>
      </c>
      <c r="L39" s="459">
        <v>37478.160000000003</v>
      </c>
      <c r="M39" s="459">
        <v>7300.26</v>
      </c>
      <c r="N39" s="459">
        <v>51430.58</v>
      </c>
      <c r="O39" s="473">
        <f>SUM(Taulukko8[[#This Row],[Muiden kuin pakolaisten osuus kotoutumiskoulutuksista,  €]:[Palkkatuki, yksityinen, €]])</f>
        <v>123055.91663441308</v>
      </c>
      <c r="P39" s="459">
        <f>Taulukko8[[#This Row],[Palvelut yhteensä, €]]/Taulukko8[[#This Row],[Työttömät 2022]]</f>
        <v>1367.2879626045897</v>
      </c>
      <c r="Q39" s="473">
        <v>112383.12776139537</v>
      </c>
      <c r="R39" s="459">
        <f>Taulukko8[[#This Row],[Toimintamenot, arvio]]/Taulukko8[[#This Row],[Työttömät 2022]]</f>
        <v>1248.7014195710597</v>
      </c>
      <c r="S39" s="473">
        <f>Taulukko8[[#This Row],[Palvelut yhteensä, €]]+Taulukko8[[#This Row],[Toimintamenot, arvio]]</f>
        <v>235439.04439580845</v>
      </c>
      <c r="T39" s="481">
        <f>(Taulukko8[[#This Row],[Palvelut + toimintamenot]]/$S$6)*$T$1</f>
        <v>247408.25888598585</v>
      </c>
      <c r="U39" s="483">
        <f>Taulukko8[[#This Row],[Palvelut + toimintamenot, skaalattu siirtyvän rahoituksen tasoon]]*0.5</f>
        <v>123704.12944299293</v>
      </c>
    </row>
    <row r="40" spans="1:21">
      <c r="A40" s="465">
        <v>106</v>
      </c>
      <c r="B40" s="456" t="s">
        <v>45</v>
      </c>
      <c r="C40" s="459">
        <v>46797</v>
      </c>
      <c r="D40" s="459">
        <v>23028</v>
      </c>
      <c r="E40" s="459">
        <v>2226</v>
      </c>
      <c r="F40" s="459">
        <v>662162</v>
      </c>
      <c r="G40" s="459">
        <v>431538.61525272275</v>
      </c>
      <c r="H40" s="459">
        <v>258923.16915163363</v>
      </c>
      <c r="I40" s="459">
        <v>227179.21807638014</v>
      </c>
      <c r="J40" s="459">
        <v>131308.03665358966</v>
      </c>
      <c r="K40" s="459">
        <v>59233.848093568362</v>
      </c>
      <c r="L40" s="459">
        <v>658558.93999999994</v>
      </c>
      <c r="M40" s="459">
        <v>328779.48</v>
      </c>
      <c r="N40" s="459">
        <v>849131.19</v>
      </c>
      <c r="O40" s="473">
        <f>SUM(Taulukko8[[#This Row],[Muiden kuin pakolaisten osuus kotoutumiskoulutuksista,  €]:[Palkkatuki, yksityinen, €]])</f>
        <v>2513113.8819751716</v>
      </c>
      <c r="P40" s="459">
        <f>Taulukko8[[#This Row],[Palvelut yhteensä, €]]/Taulukko8[[#This Row],[Työttömät 2022]]</f>
        <v>1128.9819775270312</v>
      </c>
      <c r="Q40" s="473">
        <v>1977066.7618056065</v>
      </c>
      <c r="R40" s="459">
        <f>Taulukko8[[#This Row],[Toimintamenot, arvio]]/Taulukko8[[#This Row],[Työttömät 2022]]</f>
        <v>888.17015355148544</v>
      </c>
      <c r="S40" s="473">
        <f>Taulukko8[[#This Row],[Palvelut yhteensä, €]]+Taulukko8[[#This Row],[Toimintamenot, arvio]]</f>
        <v>4490180.6437807782</v>
      </c>
      <c r="T40" s="481">
        <f>(Taulukko8[[#This Row],[Palvelut + toimintamenot]]/$S$6)*$T$1</f>
        <v>4718451.7674721545</v>
      </c>
      <c r="U40" s="483">
        <f>Taulukko8[[#This Row],[Palvelut + toimintamenot, skaalattu siirtyvän rahoituksen tasoon]]*0.5</f>
        <v>2359225.8837360772</v>
      </c>
    </row>
    <row r="41" spans="1:21">
      <c r="A41" s="465">
        <v>108</v>
      </c>
      <c r="B41" s="456" t="s">
        <v>46</v>
      </c>
      <c r="C41" s="459">
        <v>10257</v>
      </c>
      <c r="D41" s="459">
        <v>4640</v>
      </c>
      <c r="E41" s="459">
        <v>352</v>
      </c>
      <c r="F41" s="459">
        <v>120441</v>
      </c>
      <c r="G41" s="459">
        <v>22944.126207392492</v>
      </c>
      <c r="H41" s="459">
        <v>13766.475724435495</v>
      </c>
      <c r="I41" s="459">
        <v>33405.925764418236</v>
      </c>
      <c r="J41" s="459">
        <v>52136.050943396229</v>
      </c>
      <c r="K41" s="459">
        <v>3089.2728234962933</v>
      </c>
      <c r="L41" s="459">
        <v>184360.09</v>
      </c>
      <c r="M41" s="459">
        <v>101374.34</v>
      </c>
      <c r="N41" s="459">
        <v>173646.34</v>
      </c>
      <c r="O41" s="473">
        <f>SUM(Taulukko8[[#This Row],[Muiden kuin pakolaisten osuus kotoutumiskoulutuksista,  €]:[Palkkatuki, yksityinen, €]])</f>
        <v>561778.49525574618</v>
      </c>
      <c r="P41" s="459">
        <f>Taulukko8[[#This Row],[Palvelut yhteensä, €]]/Taulukko8[[#This Row],[Työttömät 2022]]</f>
        <v>1595.9616342492789</v>
      </c>
      <c r="Q41" s="473">
        <v>330275.64418209787</v>
      </c>
      <c r="R41" s="459">
        <f>Taulukko8[[#This Row],[Toimintamenot, arvio]]/Taulukko8[[#This Row],[Työttömät 2022]]</f>
        <v>938.28308006277803</v>
      </c>
      <c r="S41" s="473">
        <f>Taulukko8[[#This Row],[Palvelut yhteensä, €]]+Taulukko8[[#This Row],[Toimintamenot, arvio]]</f>
        <v>892054.13943784405</v>
      </c>
      <c r="T41" s="481">
        <f>(Taulukko8[[#This Row],[Palvelut + toimintamenot]]/$S$6)*$T$1</f>
        <v>937404.25270891318</v>
      </c>
      <c r="U41" s="483">
        <f>Taulukko8[[#This Row],[Palvelut + toimintamenot, skaalattu siirtyvän rahoituksen tasoon]]*0.5</f>
        <v>468702.12635445659</v>
      </c>
    </row>
    <row r="42" spans="1:21">
      <c r="A42" s="465">
        <v>109</v>
      </c>
      <c r="B42" s="456" t="s">
        <v>47</v>
      </c>
      <c r="C42" s="459">
        <v>68043</v>
      </c>
      <c r="D42" s="459">
        <v>31383</v>
      </c>
      <c r="E42" s="459">
        <v>3146</v>
      </c>
      <c r="F42" s="459">
        <v>970908</v>
      </c>
      <c r="G42" s="459">
        <v>597694.15438778431</v>
      </c>
      <c r="H42" s="459">
        <v>358616.49263267056</v>
      </c>
      <c r="I42" s="459">
        <v>289847.6436185849</v>
      </c>
      <c r="J42" s="459">
        <v>285635.0363017752</v>
      </c>
      <c r="K42" s="459">
        <v>42791.692776431715</v>
      </c>
      <c r="L42" s="459">
        <v>954153.09</v>
      </c>
      <c r="M42" s="459">
        <v>465682.18000000005</v>
      </c>
      <c r="N42" s="459">
        <v>1941308.15</v>
      </c>
      <c r="O42" s="473">
        <f>SUM(Taulukko8[[#This Row],[Muiden kuin pakolaisten osuus kotoutumiskoulutuksista,  €]:[Palkkatuki, yksityinen, €]])</f>
        <v>4338034.285329462</v>
      </c>
      <c r="P42" s="459">
        <f>Taulukko8[[#This Row],[Palvelut yhteensä, €]]/Taulukko8[[#This Row],[Työttömät 2022]]</f>
        <v>1378.9047315096827</v>
      </c>
      <c r="Q42" s="473">
        <v>2853104.157348841</v>
      </c>
      <c r="R42" s="459">
        <f>Taulukko8[[#This Row],[Toimintamenot, arvio]]/Taulukko8[[#This Row],[Työttömät 2022]]</f>
        <v>906.89896927808036</v>
      </c>
      <c r="S42" s="473">
        <f>Taulukko8[[#This Row],[Palvelut yhteensä, €]]+Taulukko8[[#This Row],[Toimintamenot, arvio]]</f>
        <v>7191138.4426783025</v>
      </c>
      <c r="T42" s="481">
        <f>(Taulukko8[[#This Row],[Palvelut + toimintamenot]]/$S$6)*$T$1</f>
        <v>7556720.4499866413</v>
      </c>
      <c r="U42" s="483">
        <f>Taulukko8[[#This Row],[Palvelut + toimintamenot, skaalattu siirtyvän rahoituksen tasoon]]*0.5</f>
        <v>3778360.2249933206</v>
      </c>
    </row>
    <row r="43" spans="1:21">
      <c r="A43" s="465">
        <v>111</v>
      </c>
      <c r="B43" s="456" t="s">
        <v>48</v>
      </c>
      <c r="C43" s="459">
        <v>18131</v>
      </c>
      <c r="D43" s="459">
        <v>7448</v>
      </c>
      <c r="E43" s="459">
        <v>1006</v>
      </c>
      <c r="F43" s="459">
        <v>292655</v>
      </c>
      <c r="G43" s="459">
        <v>88378.368466908913</v>
      </c>
      <c r="H43" s="459">
        <v>53027.021080145343</v>
      </c>
      <c r="I43" s="459">
        <v>42858.478134569064</v>
      </c>
      <c r="J43" s="459">
        <v>93790.608934911244</v>
      </c>
      <c r="K43" s="459">
        <v>13683.548294052862</v>
      </c>
      <c r="L43" s="459">
        <v>795572.61</v>
      </c>
      <c r="M43" s="459">
        <v>90574.2</v>
      </c>
      <c r="N43" s="459">
        <v>760381.24</v>
      </c>
      <c r="O43" s="473">
        <f>SUM(Taulukko8[[#This Row],[Muiden kuin pakolaisten osuus kotoutumiskoulutuksista,  €]:[Palkkatuki, yksityinen, €]])</f>
        <v>1849887.7064436786</v>
      </c>
      <c r="P43" s="459">
        <f>Taulukko8[[#This Row],[Palvelut yhteensä, €]]/Taulukko8[[#This Row],[Työttömät 2022]]</f>
        <v>1838.8545789698594</v>
      </c>
      <c r="Q43" s="473">
        <v>859994.14689025632</v>
      </c>
      <c r="R43" s="459">
        <f>Taulukko8[[#This Row],[Toimintamenot, arvio]]/Taulukko8[[#This Row],[Työttömät 2022]]</f>
        <v>854.86495714737214</v>
      </c>
      <c r="S43" s="473">
        <f>Taulukko8[[#This Row],[Palvelut yhteensä, €]]+Taulukko8[[#This Row],[Toimintamenot, arvio]]</f>
        <v>2709881.8533339351</v>
      </c>
      <c r="T43" s="481">
        <f>(Taulukko8[[#This Row],[Palvelut + toimintamenot]]/$S$6)*$T$1</f>
        <v>2847646.416679108</v>
      </c>
      <c r="U43" s="483">
        <f>Taulukko8[[#This Row],[Palvelut + toimintamenot, skaalattu siirtyvän rahoituksen tasoon]]*0.5</f>
        <v>1423823.208339554</v>
      </c>
    </row>
    <row r="44" spans="1:21">
      <c r="A44" s="465">
        <v>139</v>
      </c>
      <c r="B44" s="456" t="s">
        <v>49</v>
      </c>
      <c r="C44" s="459">
        <v>9853</v>
      </c>
      <c r="D44" s="459">
        <v>4207</v>
      </c>
      <c r="E44" s="459">
        <v>438</v>
      </c>
      <c r="F44" s="459">
        <v>135621</v>
      </c>
      <c r="G44" s="459">
        <v>19188.729473310068</v>
      </c>
      <c r="H44" s="459">
        <v>11513.237683986041</v>
      </c>
      <c r="I44" s="459">
        <v>52832.550377407264</v>
      </c>
      <c r="J44" s="459">
        <v>4027.9416184971096</v>
      </c>
      <c r="K44" s="459">
        <v>5074.2036624084667</v>
      </c>
      <c r="L44" s="459">
        <v>654289.85</v>
      </c>
      <c r="M44" s="459">
        <v>86143.42</v>
      </c>
      <c r="N44" s="459">
        <v>129574.83</v>
      </c>
      <c r="O44" s="473">
        <f>SUM(Taulukko8[[#This Row],[Muiden kuin pakolaisten osuus kotoutumiskoulutuksista,  €]:[Palkkatuki, yksityinen, €]])</f>
        <v>943456.03334229882</v>
      </c>
      <c r="P44" s="459">
        <f>Taulukko8[[#This Row],[Palvelut yhteensä, €]]/Taulukko8[[#This Row],[Työttömät 2022]]</f>
        <v>2154.009208544061</v>
      </c>
      <c r="Q44" s="473">
        <v>384429.71241784387</v>
      </c>
      <c r="R44" s="459">
        <f>Taulukko8[[#This Row],[Toimintamenot, arvio]]/Taulukko8[[#This Row],[Työttömät 2022]]</f>
        <v>877.69340734667549</v>
      </c>
      <c r="S44" s="473">
        <f>Taulukko8[[#This Row],[Palvelut yhteensä, €]]+Taulukko8[[#This Row],[Toimintamenot, arvio]]</f>
        <v>1327885.7457601428</v>
      </c>
      <c r="T44" s="481">
        <f>(Taulukko8[[#This Row],[Palvelut + toimintamenot]]/$S$6)*$T$1</f>
        <v>1395392.600242327</v>
      </c>
      <c r="U44" s="483">
        <f>Taulukko8[[#This Row],[Palvelut + toimintamenot, skaalattu siirtyvän rahoituksen tasoon]]*0.5</f>
        <v>697696.30012116348</v>
      </c>
    </row>
    <row r="45" spans="1:21">
      <c r="A45" s="465">
        <v>140</v>
      </c>
      <c r="B45" s="456" t="s">
        <v>50</v>
      </c>
      <c r="C45" s="459">
        <v>20801</v>
      </c>
      <c r="D45" s="459">
        <v>9329</v>
      </c>
      <c r="E45" s="459">
        <v>1068</v>
      </c>
      <c r="F45" s="459">
        <v>312992</v>
      </c>
      <c r="G45" s="459">
        <v>171129.94034406217</v>
      </c>
      <c r="H45" s="459">
        <v>102677.9642064373</v>
      </c>
      <c r="I45" s="459">
        <v>742338.23251942289</v>
      </c>
      <c r="J45" s="459">
        <v>119782.34243386245</v>
      </c>
      <c r="K45" s="459">
        <v>12502.978582765381</v>
      </c>
      <c r="L45" s="459">
        <v>378412.36</v>
      </c>
      <c r="M45" s="459">
        <v>58977.16</v>
      </c>
      <c r="N45" s="459">
        <v>710711</v>
      </c>
      <c r="O45" s="473">
        <f>SUM(Taulukko8[[#This Row],[Muiden kuin pakolaisten osuus kotoutumiskoulutuksista,  €]:[Palkkatuki, yksityinen, €]])</f>
        <v>2125402.0377424881</v>
      </c>
      <c r="P45" s="459">
        <f>Taulukko8[[#This Row],[Palvelut yhteensä, €]]/Taulukko8[[#This Row],[Työttömät 2022]]</f>
        <v>1990.0768143656255</v>
      </c>
      <c r="Q45" s="473">
        <v>968945.66462212778</v>
      </c>
      <c r="R45" s="459">
        <f>Taulukko8[[#This Row],[Toimintamenot, arvio]]/Taulukko8[[#This Row],[Työttömät 2022]]</f>
        <v>907.2524949645391</v>
      </c>
      <c r="S45" s="473">
        <f>Taulukko8[[#This Row],[Palvelut yhteensä, €]]+Taulukko8[[#This Row],[Toimintamenot, arvio]]</f>
        <v>3094347.7023646161</v>
      </c>
      <c r="T45" s="481">
        <f>(Taulukko8[[#This Row],[Palvelut + toimintamenot]]/$S$6)*$T$1</f>
        <v>3251657.6823292184</v>
      </c>
      <c r="U45" s="483">
        <f>Taulukko8[[#This Row],[Palvelut + toimintamenot, skaalattu siirtyvän rahoituksen tasoon]]*0.5</f>
        <v>1625828.8411646092</v>
      </c>
    </row>
    <row r="46" spans="1:21">
      <c r="A46" s="465">
        <v>142</v>
      </c>
      <c r="B46" s="456" t="s">
        <v>51</v>
      </c>
      <c r="C46" s="459">
        <v>6504</v>
      </c>
      <c r="D46" s="459">
        <v>2782</v>
      </c>
      <c r="E46" s="459">
        <v>251</v>
      </c>
      <c r="F46" s="459">
        <v>79199</v>
      </c>
      <c r="G46" s="459">
        <v>4560.6689445964157</v>
      </c>
      <c r="H46" s="459">
        <v>2736.4013667578492</v>
      </c>
      <c r="I46" s="459">
        <v>2211.6648409749728</v>
      </c>
      <c r="J46" s="459">
        <v>27710.861730769233</v>
      </c>
      <c r="K46" s="459">
        <v>3414.0861051762113</v>
      </c>
      <c r="L46" s="459">
        <v>91155.579999999987</v>
      </c>
      <c r="M46" s="459">
        <v>32071</v>
      </c>
      <c r="N46" s="459">
        <v>386375.47</v>
      </c>
      <c r="O46" s="473">
        <f>SUM(Taulukko8[[#This Row],[Muiden kuin pakolaisten osuus kotoutumiskoulutuksista,  €]:[Palkkatuki, yksityinen, €]])</f>
        <v>545675.06404367823</v>
      </c>
      <c r="P46" s="459">
        <f>Taulukko8[[#This Row],[Palvelut yhteensä, €]]/Taulukko8[[#This Row],[Työttömät 2022]]</f>
        <v>2174.0042392178416</v>
      </c>
      <c r="Q46" s="473">
        <v>232733.6845075649</v>
      </c>
      <c r="R46" s="459">
        <f>Taulukko8[[#This Row],[Toimintamenot, arvio]]/Taulukko8[[#This Row],[Työttömät 2022]]</f>
        <v>927.22583469149367</v>
      </c>
      <c r="S46" s="473">
        <f>Taulukko8[[#This Row],[Palvelut yhteensä, €]]+Taulukko8[[#This Row],[Toimintamenot, arvio]]</f>
        <v>778408.7485512431</v>
      </c>
      <c r="T46" s="481">
        <f>(Taulukko8[[#This Row],[Palvelut + toimintamenot]]/$S$6)*$T$1</f>
        <v>817981.3746479461</v>
      </c>
      <c r="U46" s="483">
        <f>Taulukko8[[#This Row],[Palvelut + toimintamenot, skaalattu siirtyvän rahoituksen tasoon]]*0.5</f>
        <v>408990.68732397305</v>
      </c>
    </row>
    <row r="47" spans="1:21">
      <c r="A47" s="465">
        <v>143</v>
      </c>
      <c r="B47" s="456" t="s">
        <v>52</v>
      </c>
      <c r="C47" s="459">
        <v>6804</v>
      </c>
      <c r="D47" s="459">
        <v>2743</v>
      </c>
      <c r="E47" s="459">
        <v>238</v>
      </c>
      <c r="F47" s="459">
        <v>79734</v>
      </c>
      <c r="G47" s="459">
        <v>11179.159364878471</v>
      </c>
      <c r="H47" s="459">
        <v>6707.4956189270824</v>
      </c>
      <c r="I47" s="459">
        <v>16276.50425542931</v>
      </c>
      <c r="J47" s="459">
        <v>41708.840754716985</v>
      </c>
      <c r="K47" s="459">
        <v>2088.7696931594255</v>
      </c>
      <c r="L47" s="459">
        <v>201702.01</v>
      </c>
      <c r="M47" s="459">
        <v>61683.64</v>
      </c>
      <c r="N47" s="459">
        <v>145837.27000000002</v>
      </c>
      <c r="O47" s="473">
        <f>SUM(Taulukko8[[#This Row],[Muiden kuin pakolaisten osuus kotoutumiskoulutuksista,  €]:[Palkkatuki, yksityinen, €]])</f>
        <v>476004.53032223287</v>
      </c>
      <c r="P47" s="459">
        <f>Taulukko8[[#This Row],[Palvelut yhteensä, €]]/Taulukko8[[#This Row],[Työttömät 2022]]</f>
        <v>2000.0190349673651</v>
      </c>
      <c r="Q47" s="473">
        <v>218648.11993603004</v>
      </c>
      <c r="R47" s="459">
        <f>Taulukko8[[#This Row],[Toimintamenot, arvio]]/Taulukko8[[#This Row],[Työttömät 2022]]</f>
        <v>918.68957956315137</v>
      </c>
      <c r="S47" s="473">
        <f>Taulukko8[[#This Row],[Palvelut yhteensä, €]]+Taulukko8[[#This Row],[Toimintamenot, arvio]]</f>
        <v>694652.65025826287</v>
      </c>
      <c r="T47" s="481">
        <f>(Taulukko8[[#This Row],[Palvelut + toimintamenot]]/$S$6)*$T$1</f>
        <v>729967.29651181086</v>
      </c>
      <c r="U47" s="483">
        <f>Taulukko8[[#This Row],[Palvelut + toimintamenot, skaalattu siirtyvän rahoituksen tasoon]]*0.5</f>
        <v>364983.64825590543</v>
      </c>
    </row>
    <row r="48" spans="1:21">
      <c r="A48" s="465">
        <v>145</v>
      </c>
      <c r="B48" s="456" t="s">
        <v>53</v>
      </c>
      <c r="C48" s="459">
        <v>12369</v>
      </c>
      <c r="D48" s="459">
        <v>5706</v>
      </c>
      <c r="E48" s="459">
        <v>291</v>
      </c>
      <c r="F48" s="459">
        <v>112300</v>
      </c>
      <c r="G48" s="459">
        <v>40030.505540985432</v>
      </c>
      <c r="H48" s="459">
        <v>24018.303324591259</v>
      </c>
      <c r="I48" s="459">
        <v>65231.416170972603</v>
      </c>
      <c r="J48" s="459">
        <v>19555.840836653384</v>
      </c>
      <c r="K48" s="459">
        <v>3858.8248457513973</v>
      </c>
      <c r="L48" s="459">
        <v>104019.03</v>
      </c>
      <c r="M48" s="459">
        <v>71717.240000000005</v>
      </c>
      <c r="N48" s="459">
        <v>188999.99</v>
      </c>
      <c r="O48" s="473">
        <f>SUM(Taulukko8[[#This Row],[Muiden kuin pakolaisten osuus kotoutumiskoulutuksista,  €]:[Palkkatuki, yksityinen, €]])</f>
        <v>477400.6451779686</v>
      </c>
      <c r="P48" s="459">
        <f>Taulukko8[[#This Row],[Palvelut yhteensä, €]]/Taulukko8[[#This Row],[Työttömät 2022]]</f>
        <v>1640.5520452851156</v>
      </c>
      <c r="Q48" s="473">
        <v>396868.43673685507</v>
      </c>
      <c r="R48" s="459">
        <f>Taulukko8[[#This Row],[Toimintamenot, arvio]]/Taulukko8[[#This Row],[Työttömät 2022]]</f>
        <v>1363.809060951392</v>
      </c>
      <c r="S48" s="473">
        <f>Taulukko8[[#This Row],[Palvelut yhteensä, €]]+Taulukko8[[#This Row],[Toimintamenot, arvio]]</f>
        <v>874269.08191482374</v>
      </c>
      <c r="T48" s="481">
        <f>(Taulukko8[[#This Row],[Palvelut + toimintamenot]]/$S$6)*$T$1</f>
        <v>918715.04112444795</v>
      </c>
      <c r="U48" s="483">
        <f>Taulukko8[[#This Row],[Palvelut + toimintamenot, skaalattu siirtyvän rahoituksen tasoon]]*0.5</f>
        <v>459357.52056222397</v>
      </c>
    </row>
    <row r="49" spans="1:21">
      <c r="A49" s="465">
        <v>146</v>
      </c>
      <c r="B49" s="456" t="s">
        <v>54</v>
      </c>
      <c r="C49" s="459">
        <v>4492</v>
      </c>
      <c r="D49" s="459">
        <v>1688</v>
      </c>
      <c r="E49" s="459">
        <v>242</v>
      </c>
      <c r="F49" s="459">
        <v>76198</v>
      </c>
      <c r="G49" s="459">
        <v>21144.470402817853</v>
      </c>
      <c r="H49" s="459">
        <v>12686.682241690711</v>
      </c>
      <c r="I49" s="459">
        <v>38598.99569228464</v>
      </c>
      <c r="J49" s="459">
        <v>15658.615463917526</v>
      </c>
      <c r="K49" s="459">
        <v>1988.3471328056289</v>
      </c>
      <c r="L49" s="459">
        <v>255403.87</v>
      </c>
      <c r="M49" s="459">
        <v>68641.960000000006</v>
      </c>
      <c r="N49" s="459">
        <v>259749.11000000002</v>
      </c>
      <c r="O49" s="473">
        <f>SUM(Taulukko8[[#This Row],[Muiden kuin pakolaisten osuus kotoutumiskoulutuksista,  €]:[Palkkatuki, yksityinen, €]])</f>
        <v>652727.58053069853</v>
      </c>
      <c r="P49" s="459">
        <f>Taulukko8[[#This Row],[Palvelut yhteensä, €]]/Taulukko8[[#This Row],[Työttömät 2022]]</f>
        <v>2697.2214071516469</v>
      </c>
      <c r="Q49" s="473">
        <v>201630.03907818461</v>
      </c>
      <c r="R49" s="459">
        <f>Taulukko8[[#This Row],[Toimintamenot, arvio]]/Taulukko8[[#This Row],[Työttömät 2022]]</f>
        <v>833.18197966191985</v>
      </c>
      <c r="S49" s="473">
        <f>Taulukko8[[#This Row],[Palvelut yhteensä, €]]+Taulukko8[[#This Row],[Toimintamenot, arvio]]</f>
        <v>854357.61960888316</v>
      </c>
      <c r="T49" s="481">
        <f>(Taulukko8[[#This Row],[Palvelut + toimintamenot]]/$S$6)*$T$1</f>
        <v>897791.32291267626</v>
      </c>
      <c r="U49" s="483">
        <f>Taulukko8[[#This Row],[Palvelut + toimintamenot, skaalattu siirtyvän rahoituksen tasoon]]*0.5</f>
        <v>448895.66145633813</v>
      </c>
    </row>
    <row r="50" spans="1:21">
      <c r="A50" s="465">
        <v>148</v>
      </c>
      <c r="B50" s="456" t="s">
        <v>55</v>
      </c>
      <c r="C50" s="459">
        <v>7047</v>
      </c>
      <c r="D50" s="459">
        <v>3479</v>
      </c>
      <c r="E50" s="459">
        <v>383</v>
      </c>
      <c r="F50" s="459">
        <v>106950</v>
      </c>
      <c r="G50" s="459">
        <v>19569.103922117672</v>
      </c>
      <c r="H50" s="459">
        <v>11741.462353270603</v>
      </c>
      <c r="I50" s="459">
        <v>39801.265382085767</v>
      </c>
      <c r="J50" s="459">
        <v>62792.873030927847</v>
      </c>
      <c r="K50" s="459">
        <v>19417.172233194528</v>
      </c>
      <c r="L50" s="459">
        <v>155262.08000000002</v>
      </c>
      <c r="M50" s="459">
        <v>145199.34</v>
      </c>
      <c r="N50" s="459">
        <v>100595.72</v>
      </c>
      <c r="O50" s="473">
        <f>SUM(Taulukko8[[#This Row],[Muiden kuin pakolaisten osuus kotoutumiskoulutuksista,  €]:[Palkkatuki, yksityinen, €]])</f>
        <v>534809.91299947875</v>
      </c>
      <c r="P50" s="459">
        <f>Taulukko8[[#This Row],[Palvelut yhteensä, €]]/Taulukko8[[#This Row],[Työttömät 2022]]</f>
        <v>1396.3705300247486</v>
      </c>
      <c r="Q50" s="473">
        <v>381930.12225322035</v>
      </c>
      <c r="R50" s="459">
        <f>Taulukko8[[#This Row],[Toimintamenot, arvio]]/Taulukko8[[#This Row],[Työttömät 2022]]</f>
        <v>997.20658551754661</v>
      </c>
      <c r="S50" s="473">
        <f>Taulukko8[[#This Row],[Palvelut yhteensä, €]]+Taulukko8[[#This Row],[Toimintamenot, arvio]]</f>
        <v>916740.03525269916</v>
      </c>
      <c r="T50" s="481">
        <f>(Taulukko8[[#This Row],[Palvelut + toimintamenot]]/$S$6)*$T$1</f>
        <v>963345.12635740847</v>
      </c>
      <c r="U50" s="483">
        <f>Taulukko8[[#This Row],[Palvelut + toimintamenot, skaalattu siirtyvän rahoituksen tasoon]]*0.5</f>
        <v>481672.56317870424</v>
      </c>
    </row>
    <row r="51" spans="1:21">
      <c r="A51" s="465">
        <v>149</v>
      </c>
      <c r="B51" s="456" t="s">
        <v>56</v>
      </c>
      <c r="C51" s="459">
        <v>5384</v>
      </c>
      <c r="D51" s="459">
        <v>2571</v>
      </c>
      <c r="E51" s="459">
        <v>154</v>
      </c>
      <c r="F51" s="459">
        <v>44262</v>
      </c>
      <c r="G51" s="459">
        <v>17716.352464419379</v>
      </c>
      <c r="H51" s="459">
        <v>10629.811478651627</v>
      </c>
      <c r="I51" s="459">
        <v>9326.5978009298233</v>
      </c>
      <c r="J51" s="459">
        <v>24775.101255394271</v>
      </c>
      <c r="K51" s="459">
        <v>4097.9391762846035</v>
      </c>
      <c r="L51" s="459">
        <v>1551.46</v>
      </c>
      <c r="M51" s="459">
        <v>54116.9</v>
      </c>
      <c r="N51" s="459">
        <v>136382.5</v>
      </c>
      <c r="O51" s="473">
        <f>SUM(Taulukko8[[#This Row],[Muiden kuin pakolaisten osuus kotoutumiskoulutuksista,  €]:[Palkkatuki, yksityinen, €]])</f>
        <v>240880.30971126031</v>
      </c>
      <c r="P51" s="459">
        <f>Taulukko8[[#This Row],[Palvelut yhteensä, €]]/Taulukko8[[#This Row],[Työttömät 2022]]</f>
        <v>1564.1578552679241</v>
      </c>
      <c r="Q51" s="473">
        <v>132156.37413660064</v>
      </c>
      <c r="R51" s="459">
        <f>Taulukko8[[#This Row],[Toimintamenot, arvio]]/Taulukko8[[#This Row],[Työttömät 2022]]</f>
        <v>858.1582736142899</v>
      </c>
      <c r="S51" s="473">
        <f>Taulukko8[[#This Row],[Palvelut yhteensä, €]]+Taulukko8[[#This Row],[Toimintamenot, arvio]]</f>
        <v>373036.68384786096</v>
      </c>
      <c r="T51" s="481">
        <f>(Taulukko8[[#This Row],[Palvelut + toimintamenot]]/$S$6)*$T$1</f>
        <v>392001.06629826408</v>
      </c>
      <c r="U51" s="483">
        <f>Taulukko8[[#This Row],[Palvelut + toimintamenot, skaalattu siirtyvän rahoituksen tasoon]]*0.5</f>
        <v>196000.53314913204</v>
      </c>
    </row>
    <row r="52" spans="1:21">
      <c r="A52" s="465">
        <v>151</v>
      </c>
      <c r="B52" s="456" t="s">
        <v>57</v>
      </c>
      <c r="C52" s="459">
        <v>1852</v>
      </c>
      <c r="D52" s="459">
        <v>805</v>
      </c>
      <c r="E52" s="459">
        <v>49</v>
      </c>
      <c r="F52" s="459">
        <v>15820</v>
      </c>
      <c r="G52" s="459">
        <v>9097.8421684057812</v>
      </c>
      <c r="H52" s="459">
        <v>5458.7053010434684</v>
      </c>
      <c r="I52" s="459">
        <v>14825.321857039227</v>
      </c>
      <c r="J52" s="459">
        <v>7822.3363346613542</v>
      </c>
      <c r="K52" s="459">
        <v>649.7677575320223</v>
      </c>
      <c r="L52" s="459">
        <v>5949.27</v>
      </c>
      <c r="M52" s="459">
        <v>7681.24</v>
      </c>
      <c r="N52" s="459">
        <v>39038.409999999996</v>
      </c>
      <c r="O52" s="473">
        <f>SUM(Taulukko8[[#This Row],[Muiden kuin pakolaisten osuus kotoutumiskoulutuksista,  €]:[Palkkatuki, yksityinen, €]])</f>
        <v>81425.051250276068</v>
      </c>
      <c r="P52" s="459">
        <f>Taulukko8[[#This Row],[Palvelut yhteensä, €]]/Taulukko8[[#This Row],[Työttömät 2022]]</f>
        <v>1661.7357398015524</v>
      </c>
      <c r="Q52" s="473">
        <v>55907.913349751085</v>
      </c>
      <c r="R52" s="459">
        <f>Taulukko8[[#This Row],[Toimintamenot, arvio]]/Taulukko8[[#This Row],[Työttömät 2022]]</f>
        <v>1140.9778234643079</v>
      </c>
      <c r="S52" s="473">
        <f>Taulukko8[[#This Row],[Palvelut yhteensä, €]]+Taulukko8[[#This Row],[Toimintamenot, arvio]]</f>
        <v>137332.96460002716</v>
      </c>
      <c r="T52" s="481">
        <f>(Taulukko8[[#This Row],[Palvelut + toimintamenot]]/$S$6)*$T$1</f>
        <v>144314.67706020112</v>
      </c>
      <c r="U52" s="483">
        <f>Taulukko8[[#This Row],[Palvelut + toimintamenot, skaalattu siirtyvän rahoituksen tasoon]]*0.5</f>
        <v>72157.338530100562</v>
      </c>
    </row>
    <row r="53" spans="1:21">
      <c r="A53" s="465">
        <v>152</v>
      </c>
      <c r="B53" s="456" t="s">
        <v>58</v>
      </c>
      <c r="C53" s="459">
        <v>4406</v>
      </c>
      <c r="D53" s="459">
        <v>1902</v>
      </c>
      <c r="E53" s="459">
        <v>108</v>
      </c>
      <c r="F53" s="459">
        <v>42394</v>
      </c>
      <c r="G53" s="459">
        <v>26080.480882763241</v>
      </c>
      <c r="H53" s="459">
        <v>15648.288529657944</v>
      </c>
      <c r="I53" s="459">
        <v>42499.255990179125</v>
      </c>
      <c r="J53" s="459">
        <v>31289.345338645417</v>
      </c>
      <c r="K53" s="459">
        <v>1432.1411798664983</v>
      </c>
      <c r="L53" s="459">
        <v>43598.43</v>
      </c>
      <c r="M53" s="459">
        <v>27783.38</v>
      </c>
      <c r="N53" s="459">
        <v>110319.93</v>
      </c>
      <c r="O53" s="473">
        <f>SUM(Taulukko8[[#This Row],[Muiden kuin pakolaisten osuus kotoutumiskoulutuksista,  €]:[Palkkatuki, yksityinen, €]])</f>
        <v>272570.77103834902</v>
      </c>
      <c r="P53" s="459">
        <f>Taulukko8[[#This Row],[Palvelut yhteensä, €]]/Taulukko8[[#This Row],[Työttömät 2022]]</f>
        <v>2523.8034355402688</v>
      </c>
      <c r="Q53" s="473">
        <v>149820.48536974384</v>
      </c>
      <c r="R53" s="459">
        <f>Taulukko8[[#This Row],[Toimintamenot, arvio]]/Taulukko8[[#This Row],[Työttömät 2022]]</f>
        <v>1387.226716386517</v>
      </c>
      <c r="S53" s="473">
        <f>Taulukko8[[#This Row],[Palvelut yhteensä, €]]+Taulukko8[[#This Row],[Toimintamenot, arvio]]</f>
        <v>422391.25640809286</v>
      </c>
      <c r="T53" s="481">
        <f>(Taulukko8[[#This Row],[Palvelut + toimintamenot]]/$S$6)*$T$1</f>
        <v>443864.71914532944</v>
      </c>
      <c r="U53" s="483">
        <f>Taulukko8[[#This Row],[Palvelut + toimintamenot, skaalattu siirtyvän rahoituksen tasoon]]*0.5</f>
        <v>221932.35957266472</v>
      </c>
    </row>
    <row r="54" spans="1:21">
      <c r="A54" s="465">
        <v>153</v>
      </c>
      <c r="B54" s="456" t="s">
        <v>59</v>
      </c>
      <c r="C54" s="459">
        <v>25208</v>
      </c>
      <c r="D54" s="459">
        <v>10850</v>
      </c>
      <c r="E54" s="459">
        <v>1421</v>
      </c>
      <c r="F54" s="459">
        <v>513258</v>
      </c>
      <c r="G54" s="459">
        <v>465543.41044147825</v>
      </c>
      <c r="H54" s="459">
        <v>279326.04626488691</v>
      </c>
      <c r="I54" s="459">
        <v>601982.4998235621</v>
      </c>
      <c r="J54" s="459">
        <v>349427.16127358488</v>
      </c>
      <c r="K54" s="459">
        <v>14158.293590207866</v>
      </c>
      <c r="L54" s="459">
        <v>491748.33</v>
      </c>
      <c r="M54" s="459">
        <v>236501.84999999998</v>
      </c>
      <c r="N54" s="459">
        <v>1459987.73</v>
      </c>
      <c r="O54" s="473">
        <f>SUM(Taulukko8[[#This Row],[Muiden kuin pakolaisten osuus kotoutumiskoulutuksista,  €]:[Palkkatuki, yksityinen, €]])</f>
        <v>3433131.9109522416</v>
      </c>
      <c r="P54" s="459">
        <f>Taulukko8[[#This Row],[Palvelut yhteensä, €]]/Taulukko8[[#This Row],[Työttömät 2022]]</f>
        <v>2415.9971224153705</v>
      </c>
      <c r="Q54" s="473">
        <v>1638576.5698945911</v>
      </c>
      <c r="R54" s="459">
        <f>Taulukko8[[#This Row],[Toimintamenot, arvio]]/Taulukko8[[#This Row],[Työttömät 2022]]</f>
        <v>1153.1151090039345</v>
      </c>
      <c r="S54" s="473">
        <f>Taulukko8[[#This Row],[Palvelut yhteensä, €]]+Taulukko8[[#This Row],[Toimintamenot, arvio]]</f>
        <v>5071708.4808468325</v>
      </c>
      <c r="T54" s="481">
        <f>(Taulukko8[[#This Row],[Palvelut + toimintamenot]]/$S$6)*$T$1</f>
        <v>5329543.2286673961</v>
      </c>
      <c r="U54" s="483">
        <f>Taulukko8[[#This Row],[Palvelut + toimintamenot, skaalattu siirtyvän rahoituksen tasoon]]*0.5</f>
        <v>2664771.6143336981</v>
      </c>
    </row>
    <row r="55" spans="1:21">
      <c r="A55" s="465">
        <v>165</v>
      </c>
      <c r="B55" s="456" t="s">
        <v>60</v>
      </c>
      <c r="C55" s="459">
        <v>16280</v>
      </c>
      <c r="D55" s="459">
        <v>7647</v>
      </c>
      <c r="E55" s="459">
        <v>598</v>
      </c>
      <c r="F55" s="459">
        <v>203382</v>
      </c>
      <c r="G55" s="459">
        <v>84187.483490793282</v>
      </c>
      <c r="H55" s="459">
        <v>50512.490094475965</v>
      </c>
      <c r="I55" s="459">
        <v>40826.137469889356</v>
      </c>
      <c r="J55" s="459">
        <v>34105.67597633136</v>
      </c>
      <c r="K55" s="459">
        <v>8133.9581310572685</v>
      </c>
      <c r="L55" s="459">
        <v>286053.14</v>
      </c>
      <c r="M55" s="459">
        <v>103670.88</v>
      </c>
      <c r="N55" s="459">
        <v>267940.42</v>
      </c>
      <c r="O55" s="473">
        <f>SUM(Taulukko8[[#This Row],[Muiden kuin pakolaisten osuus kotoutumiskoulutuksista,  €]:[Palkkatuki, yksityinen, €]])</f>
        <v>791242.70167175401</v>
      </c>
      <c r="P55" s="459">
        <f>Taulukko8[[#This Row],[Palvelut yhteensä, €]]/Taulukko8[[#This Row],[Työttömät 2022]]</f>
        <v>1323.1483305547727</v>
      </c>
      <c r="Q55" s="473">
        <v>597657.06918670156</v>
      </c>
      <c r="R55" s="459">
        <f>Taulukko8[[#This Row],[Toimintamenot, arvio]]/Taulukko8[[#This Row],[Työttömät 2022]]</f>
        <v>999.42653710150762</v>
      </c>
      <c r="S55" s="473">
        <f>Taulukko8[[#This Row],[Palvelut yhteensä, €]]+Taulukko8[[#This Row],[Toimintamenot, arvio]]</f>
        <v>1388899.7708584554</v>
      </c>
      <c r="T55" s="481">
        <f>(Taulukko8[[#This Row],[Palvelut + toimintamenot]]/$S$6)*$T$1</f>
        <v>1459508.4471101973</v>
      </c>
      <c r="U55" s="483">
        <f>Taulukko8[[#This Row],[Palvelut + toimintamenot, skaalattu siirtyvän rahoituksen tasoon]]*0.5</f>
        <v>729754.22355509864</v>
      </c>
    </row>
    <row r="56" spans="1:21">
      <c r="A56" s="465">
        <v>167</v>
      </c>
      <c r="B56" s="456" t="s">
        <v>61</v>
      </c>
      <c r="C56" s="459">
        <v>77513</v>
      </c>
      <c r="D56" s="459">
        <v>35544</v>
      </c>
      <c r="E56" s="459">
        <v>4748</v>
      </c>
      <c r="F56" s="459">
        <v>1539326</v>
      </c>
      <c r="G56" s="459">
        <v>646450.08074455732</v>
      </c>
      <c r="H56" s="459">
        <v>387870.04844673438</v>
      </c>
      <c r="I56" s="459">
        <v>1180087.4368842507</v>
      </c>
      <c r="J56" s="459">
        <v>122137.20061855672</v>
      </c>
      <c r="K56" s="459">
        <v>39011.042093227792</v>
      </c>
      <c r="L56" s="459">
        <v>1654141.65</v>
      </c>
      <c r="M56" s="459">
        <v>504743.96</v>
      </c>
      <c r="N56" s="459">
        <v>4159570.7399999998</v>
      </c>
      <c r="O56" s="473">
        <f>SUM(Taulukko8[[#This Row],[Muiden kuin pakolaisten osuus kotoutumiskoulutuksista,  €]:[Palkkatuki, yksityinen, €]])</f>
        <v>8047562.0780427698</v>
      </c>
      <c r="P56" s="459">
        <f>Taulukko8[[#This Row],[Palvelut yhteensä, €]]/Taulukko8[[#This Row],[Työttömät 2022]]</f>
        <v>1694.9372531682329</v>
      </c>
      <c r="Q56" s="473">
        <v>4073261.2605851288</v>
      </c>
      <c r="R56" s="459">
        <f>Taulukko8[[#This Row],[Toimintamenot, arvio]]/Taulukko8[[#This Row],[Työttömät 2022]]</f>
        <v>857.88990324033887</v>
      </c>
      <c r="S56" s="473">
        <f>Taulukko8[[#This Row],[Palvelut yhteensä, €]]+Taulukko8[[#This Row],[Toimintamenot, arvio]]</f>
        <v>12120823.338627899</v>
      </c>
      <c r="T56" s="481">
        <f>(Taulukko8[[#This Row],[Palvelut + toimintamenot]]/$S$6)*$T$1</f>
        <v>12737019.920252183</v>
      </c>
      <c r="U56" s="483">
        <f>Taulukko8[[#This Row],[Palvelut + toimintamenot, skaalattu siirtyvän rahoituksen tasoon]]*0.5</f>
        <v>6368509.9601260917</v>
      </c>
    </row>
    <row r="57" spans="1:21">
      <c r="A57" s="465">
        <v>169</v>
      </c>
      <c r="B57" s="456" t="s">
        <v>62</v>
      </c>
      <c r="C57" s="459">
        <v>4990</v>
      </c>
      <c r="D57" s="459">
        <v>2309</v>
      </c>
      <c r="E57" s="459">
        <v>159</v>
      </c>
      <c r="F57" s="459">
        <v>53504</v>
      </c>
      <c r="G57" s="459">
        <v>9860.9058261544105</v>
      </c>
      <c r="H57" s="459">
        <v>5916.5434956926465</v>
      </c>
      <c r="I57" s="459">
        <v>4781.9780345404806</v>
      </c>
      <c r="J57" s="459">
        <v>12789.628491124262</v>
      </c>
      <c r="K57" s="459">
        <v>2162.7079311674006</v>
      </c>
      <c r="L57" s="459">
        <v>64045.539999999994</v>
      </c>
      <c r="M57" s="459">
        <v>40107.46</v>
      </c>
      <c r="N57" s="459">
        <v>80932.98</v>
      </c>
      <c r="O57" s="473">
        <f>SUM(Taulukko8[[#This Row],[Muiden kuin pakolaisten osuus kotoutumiskoulutuksista,  €]:[Palkkatuki, yksityinen, €]])</f>
        <v>210736.83795252477</v>
      </c>
      <c r="P57" s="459">
        <f>Taulukko8[[#This Row],[Palvelut yhteensä, €]]/Taulukko8[[#This Row],[Työttömät 2022]]</f>
        <v>1325.3889179404073</v>
      </c>
      <c r="Q57" s="473">
        <v>157226.51871731656</v>
      </c>
      <c r="R57" s="459">
        <f>Taulukko8[[#This Row],[Toimintamenot, arvio]]/Taulukko8[[#This Row],[Työttömät 2022]]</f>
        <v>988.84602966865759</v>
      </c>
      <c r="S57" s="473">
        <f>Taulukko8[[#This Row],[Palvelut yhteensä, €]]+Taulukko8[[#This Row],[Toimintamenot, arvio]]</f>
        <v>367963.35666984133</v>
      </c>
      <c r="T57" s="481">
        <f>(Taulukko8[[#This Row],[Palvelut + toimintamenot]]/$S$6)*$T$1</f>
        <v>386669.82208134211</v>
      </c>
      <c r="U57" s="483">
        <f>Taulukko8[[#This Row],[Palvelut + toimintamenot, skaalattu siirtyvän rahoituksen tasoon]]*0.5</f>
        <v>193334.91104067105</v>
      </c>
    </row>
    <row r="58" spans="1:21">
      <c r="A58" s="465">
        <v>171</v>
      </c>
      <c r="B58" s="456" t="s">
        <v>63</v>
      </c>
      <c r="C58" s="459">
        <v>4540</v>
      </c>
      <c r="D58" s="459">
        <v>1960</v>
      </c>
      <c r="E58" s="459">
        <v>149</v>
      </c>
      <c r="F58" s="459">
        <v>74727</v>
      </c>
      <c r="G58" s="459">
        <v>30628.903832560773</v>
      </c>
      <c r="H58" s="459">
        <v>18377.342299536464</v>
      </c>
      <c r="I58" s="459">
        <v>132863.98796935868</v>
      </c>
      <c r="J58" s="459">
        <v>22459.189206349209</v>
      </c>
      <c r="K58" s="459">
        <v>1744.3294090187658</v>
      </c>
      <c r="L58" s="459">
        <v>86783.35</v>
      </c>
      <c r="M58" s="459">
        <v>19898.28</v>
      </c>
      <c r="N58" s="459">
        <v>50035.909999999996</v>
      </c>
      <c r="O58" s="473">
        <f>SUM(Taulukko8[[#This Row],[Muiden kuin pakolaisten osuus kotoutumiskoulutuksista,  €]:[Palkkatuki, yksityinen, €]])</f>
        <v>332162.38888426305</v>
      </c>
      <c r="P58" s="459">
        <f>Taulukko8[[#This Row],[Palvelut yhteensä, €]]/Taulukko8[[#This Row],[Työttömät 2022]]</f>
        <v>2229.2777777467318</v>
      </c>
      <c r="Q58" s="473">
        <v>231336.27274888093</v>
      </c>
      <c r="R58" s="459">
        <f>Taulukko8[[#This Row],[Toimintamenot, arvio]]/Taulukko8[[#This Row],[Työttömät 2022]]</f>
        <v>1552.5924345562478</v>
      </c>
      <c r="S58" s="473">
        <f>Taulukko8[[#This Row],[Palvelut yhteensä, €]]+Taulukko8[[#This Row],[Toimintamenot, arvio]]</f>
        <v>563498.66163314402</v>
      </c>
      <c r="T58" s="481">
        <f>(Taulukko8[[#This Row],[Palvelut + toimintamenot]]/$S$6)*$T$1</f>
        <v>592145.72127154563</v>
      </c>
      <c r="U58" s="483">
        <f>Taulukko8[[#This Row],[Palvelut + toimintamenot, skaalattu siirtyvän rahoituksen tasoon]]*0.5</f>
        <v>296072.86063577281</v>
      </c>
    </row>
    <row r="59" spans="1:21">
      <c r="A59" s="465">
        <v>172</v>
      </c>
      <c r="B59" s="456" t="s">
        <v>64</v>
      </c>
      <c r="C59" s="459">
        <v>4171</v>
      </c>
      <c r="D59" s="459">
        <v>1644</v>
      </c>
      <c r="E59" s="459">
        <v>178</v>
      </c>
      <c r="F59" s="459">
        <v>57267</v>
      </c>
      <c r="G59" s="459">
        <v>20490.193341962735</v>
      </c>
      <c r="H59" s="459">
        <v>12294.116005177641</v>
      </c>
      <c r="I59" s="459">
        <v>71021.937598528457</v>
      </c>
      <c r="J59" s="459">
        <v>6664.9613215859035</v>
      </c>
      <c r="K59" s="459">
        <v>2151.6976045733409</v>
      </c>
      <c r="L59" s="459">
        <v>61533.17</v>
      </c>
      <c r="M59" s="459">
        <v>4400.16</v>
      </c>
      <c r="N59" s="459">
        <v>196640.58000000002</v>
      </c>
      <c r="O59" s="473">
        <f>SUM(Taulukko8[[#This Row],[Muiden kuin pakolaisten osuus kotoutumiskoulutuksista,  €]:[Palkkatuki, yksityinen, €]])</f>
        <v>354706.62252986536</v>
      </c>
      <c r="P59" s="459">
        <f>Taulukko8[[#This Row],[Palvelut yhteensä, €]]/Taulukko8[[#This Row],[Työttömät 2022]]</f>
        <v>1992.7338344374459</v>
      </c>
      <c r="Q59" s="473">
        <v>165301.51139960109</v>
      </c>
      <c r="R59" s="459">
        <f>Taulukko8[[#This Row],[Toimintamenot, arvio]]/Taulukko8[[#This Row],[Työttömät 2022]]</f>
        <v>928.66017640225334</v>
      </c>
      <c r="S59" s="473">
        <f>Taulukko8[[#This Row],[Palvelut yhteensä, €]]+Taulukko8[[#This Row],[Toimintamenot, arvio]]</f>
        <v>520008.13392946648</v>
      </c>
      <c r="T59" s="481">
        <f>(Taulukko8[[#This Row],[Palvelut + toimintamenot]]/$S$6)*$T$1</f>
        <v>546444.22870555241</v>
      </c>
      <c r="U59" s="483">
        <f>Taulukko8[[#This Row],[Palvelut + toimintamenot, skaalattu siirtyvän rahoituksen tasoon]]*0.5</f>
        <v>273222.1143527762</v>
      </c>
    </row>
    <row r="60" spans="1:21">
      <c r="A60" s="465">
        <v>176</v>
      </c>
      <c r="B60" s="456" t="s">
        <v>65</v>
      </c>
      <c r="C60" s="459">
        <v>4352</v>
      </c>
      <c r="D60" s="459">
        <v>1663</v>
      </c>
      <c r="E60" s="459">
        <v>251</v>
      </c>
      <c r="F60" s="459">
        <v>85625</v>
      </c>
      <c r="G60" s="459">
        <v>8560.7037250346621</v>
      </c>
      <c r="H60" s="459">
        <v>5136.4222350207974</v>
      </c>
      <c r="I60" s="459">
        <v>15627.46949488515</v>
      </c>
      <c r="J60" s="459">
        <v>15658.615463917526</v>
      </c>
      <c r="K60" s="459">
        <v>2062.2939270008796</v>
      </c>
      <c r="L60" s="459">
        <v>83937.09</v>
      </c>
      <c r="M60" s="459">
        <v>10160.16</v>
      </c>
      <c r="N60" s="459">
        <v>229423.6</v>
      </c>
      <c r="O60" s="473">
        <f>SUM(Taulukko8[[#This Row],[Muiden kuin pakolaisten osuus kotoutumiskoulutuksista,  €]:[Palkkatuki, yksityinen, €]])</f>
        <v>362005.65112082439</v>
      </c>
      <c r="P60" s="459">
        <f>Taulukko8[[#This Row],[Palvelut yhteensä, €]]/Taulukko8[[#This Row],[Työttömät 2022]]</f>
        <v>1442.2535901228064</v>
      </c>
      <c r="Q60" s="473">
        <v>226575.13446638439</v>
      </c>
      <c r="R60" s="459">
        <f>Taulukko8[[#This Row],[Toimintamenot, arvio]]/Taulukko8[[#This Row],[Työttömät 2022]]</f>
        <v>902.68977875053542</v>
      </c>
      <c r="S60" s="473">
        <f>Taulukko8[[#This Row],[Palvelut yhteensä, €]]+Taulukko8[[#This Row],[Toimintamenot, arvio]]</f>
        <v>588580.78558720881</v>
      </c>
      <c r="T60" s="481">
        <f>(Taulukko8[[#This Row],[Palvelut + toimintamenot]]/$S$6)*$T$1</f>
        <v>618502.96644539712</v>
      </c>
      <c r="U60" s="483">
        <f>Taulukko8[[#This Row],[Palvelut + toimintamenot, skaalattu siirtyvän rahoituksen tasoon]]*0.5</f>
        <v>309251.48322269856</v>
      </c>
    </row>
    <row r="61" spans="1:21">
      <c r="A61" s="465">
        <v>177</v>
      </c>
      <c r="B61" s="456" t="s">
        <v>66</v>
      </c>
      <c r="C61" s="459">
        <v>1768</v>
      </c>
      <c r="D61" s="459">
        <v>748</v>
      </c>
      <c r="E61" s="459">
        <v>51</v>
      </c>
      <c r="F61" s="459">
        <v>19124</v>
      </c>
      <c r="G61" s="459">
        <v>2147.9607513303613</v>
      </c>
      <c r="H61" s="459">
        <v>1288.7764507982167</v>
      </c>
      <c r="I61" s="459">
        <v>3127.3632630519201</v>
      </c>
      <c r="J61" s="459">
        <v>0</v>
      </c>
      <c r="K61" s="459">
        <v>447.59350567701978</v>
      </c>
      <c r="L61" s="459">
        <v>5957.03</v>
      </c>
      <c r="M61" s="459">
        <v>5176.3999999999996</v>
      </c>
      <c r="N61" s="459">
        <v>90599.56</v>
      </c>
      <c r="O61" s="473">
        <f>SUM(Taulukko8[[#This Row],[Muiden kuin pakolaisten osuus kotoutumiskoulutuksista,  €]:[Palkkatuki, yksityinen, €]])</f>
        <v>106596.72321952715</v>
      </c>
      <c r="P61" s="459">
        <f>Taulukko8[[#This Row],[Palvelut yhteensä, €]]/Taulukko8[[#This Row],[Työttömät 2022]]</f>
        <v>2090.1318278338658</v>
      </c>
      <c r="Q61" s="473">
        <v>52442.203397003017</v>
      </c>
      <c r="R61" s="459">
        <f>Taulukko8[[#This Row],[Toimintamenot, arvio]]/Taulukko8[[#This Row],[Työttömät 2022]]</f>
        <v>1028.2784979804512</v>
      </c>
      <c r="S61" s="473">
        <f>Taulukko8[[#This Row],[Palvelut yhteensä, €]]+Taulukko8[[#This Row],[Toimintamenot, arvio]]</f>
        <v>159038.92661653017</v>
      </c>
      <c r="T61" s="481">
        <f>(Taulukko8[[#This Row],[Palvelut + toimintamenot]]/$S$6)*$T$1</f>
        <v>167124.12348710804</v>
      </c>
      <c r="U61" s="483">
        <f>Taulukko8[[#This Row],[Palvelut + toimintamenot, skaalattu siirtyvän rahoituksen tasoon]]*0.5</f>
        <v>83562.061743554019</v>
      </c>
    </row>
    <row r="62" spans="1:21">
      <c r="A62" s="465">
        <v>178</v>
      </c>
      <c r="B62" s="456" t="s">
        <v>67</v>
      </c>
      <c r="C62" s="459">
        <v>5769</v>
      </c>
      <c r="D62" s="459">
        <v>2378</v>
      </c>
      <c r="E62" s="459">
        <v>189</v>
      </c>
      <c r="F62" s="459">
        <v>57662</v>
      </c>
      <c r="G62" s="459">
        <v>39665.992338803815</v>
      </c>
      <c r="H62" s="459">
        <v>23799.595403282288</v>
      </c>
      <c r="I62" s="459">
        <v>75455.201002540693</v>
      </c>
      <c r="J62" s="459">
        <v>13018.364736842104</v>
      </c>
      <c r="K62" s="459">
        <v>17094.043938461538</v>
      </c>
      <c r="L62" s="459">
        <v>69445.440000000002</v>
      </c>
      <c r="M62" s="459">
        <v>25429.420000000002</v>
      </c>
      <c r="N62" s="459">
        <v>83250.39</v>
      </c>
      <c r="O62" s="473">
        <f>SUM(Taulukko8[[#This Row],[Muiden kuin pakolaisten osuus kotoutumiskoulutuksista,  €]:[Palkkatuki, yksityinen, €]])</f>
        <v>307492.45508112665</v>
      </c>
      <c r="P62" s="459">
        <f>Taulukko8[[#This Row],[Palvelut yhteensä, €]]/Taulukko8[[#This Row],[Työttömät 2022]]</f>
        <v>1626.944206778448</v>
      </c>
      <c r="Q62" s="473">
        <v>184879.10461340201</v>
      </c>
      <c r="R62" s="459">
        <f>Taulukko8[[#This Row],[Toimintamenot, arvio]]/Taulukko8[[#This Row],[Työttömät 2022]]</f>
        <v>978.19632070583077</v>
      </c>
      <c r="S62" s="473">
        <f>Taulukko8[[#This Row],[Palvelut yhteensä, €]]+Taulukko8[[#This Row],[Toimintamenot, arvio]]</f>
        <v>492371.5596945287</v>
      </c>
      <c r="T62" s="481">
        <f>(Taulukko8[[#This Row],[Palvelut + toimintamenot]]/$S$6)*$T$1</f>
        <v>517402.67049422883</v>
      </c>
      <c r="U62" s="483">
        <f>Taulukko8[[#This Row],[Palvelut + toimintamenot, skaalattu siirtyvän rahoituksen tasoon]]*0.5</f>
        <v>258701.33524711442</v>
      </c>
    </row>
    <row r="63" spans="1:21">
      <c r="A63" s="465">
        <v>179</v>
      </c>
      <c r="B63" s="456" t="s">
        <v>68</v>
      </c>
      <c r="C63" s="459">
        <v>145887</v>
      </c>
      <c r="D63" s="459">
        <v>70552</v>
      </c>
      <c r="E63" s="459">
        <v>8687</v>
      </c>
      <c r="F63" s="459">
        <v>2763742</v>
      </c>
      <c r="G63" s="459">
        <v>1024344.0419787443</v>
      </c>
      <c r="H63" s="459">
        <v>614606.42518724652</v>
      </c>
      <c r="I63" s="459">
        <v>3550522.7995994138</v>
      </c>
      <c r="J63" s="459">
        <v>529864.42506607925</v>
      </c>
      <c r="K63" s="459">
        <v>105010.09601645288</v>
      </c>
      <c r="L63" s="459">
        <v>1761925.8900000001</v>
      </c>
      <c r="M63" s="459">
        <v>891411.41999999993</v>
      </c>
      <c r="N63" s="459">
        <v>9219058.8800000008</v>
      </c>
      <c r="O63" s="473">
        <f>SUM(Taulukko8[[#This Row],[Muiden kuin pakolaisten osuus kotoutumiskoulutuksista,  €]:[Palkkatuki, yksityinen, €]])</f>
        <v>16672399.935869193</v>
      </c>
      <c r="P63" s="459">
        <f>Taulukko8[[#This Row],[Palvelut yhteensä, €]]/Taulukko8[[#This Row],[Työttömät 2022]]</f>
        <v>1919.2356320788756</v>
      </c>
      <c r="Q63" s="473">
        <v>7977556.5285165329</v>
      </c>
      <c r="R63" s="459">
        <f>Taulukko8[[#This Row],[Toimintamenot, arvio]]/Taulukko8[[#This Row],[Työttömät 2022]]</f>
        <v>918.33274185754954</v>
      </c>
      <c r="S63" s="473">
        <f>Taulukko8[[#This Row],[Palvelut yhteensä, €]]+Taulukko8[[#This Row],[Toimintamenot, arvio]]</f>
        <v>24649956.464385726</v>
      </c>
      <c r="T63" s="481">
        <f>(Taulukko8[[#This Row],[Palvelut + toimintamenot]]/$S$6)*$T$1</f>
        <v>25903107.218768504</v>
      </c>
      <c r="U63" s="483">
        <f>Taulukko8[[#This Row],[Palvelut + toimintamenot, skaalattu siirtyvän rahoituksen tasoon]]*0.5</f>
        <v>12951553.609384252</v>
      </c>
    </row>
    <row r="64" spans="1:21">
      <c r="A64" s="465">
        <v>181</v>
      </c>
      <c r="B64" s="456" t="s">
        <v>69</v>
      </c>
      <c r="C64" s="459">
        <v>1683</v>
      </c>
      <c r="D64" s="459">
        <v>720</v>
      </c>
      <c r="E64" s="459">
        <v>49</v>
      </c>
      <c r="F64" s="459">
        <v>20208</v>
      </c>
      <c r="G64" s="459">
        <v>10774.974341775835</v>
      </c>
      <c r="H64" s="459">
        <v>6464.9846050655005</v>
      </c>
      <c r="I64" s="459">
        <v>25852.43351382824</v>
      </c>
      <c r="J64" s="459">
        <v>0</v>
      </c>
      <c r="K64" s="459">
        <v>1365.6198643989887</v>
      </c>
      <c r="L64" s="459">
        <v>18907.57</v>
      </c>
      <c r="M64" s="459">
        <v>12979.04</v>
      </c>
      <c r="N64" s="459">
        <v>12344.07</v>
      </c>
      <c r="O64" s="473">
        <f>SUM(Taulukko8[[#This Row],[Muiden kuin pakolaisten osuus kotoutumiskoulutuksista,  €]:[Palkkatuki, yksityinen, €]])</f>
        <v>77913.717983292736</v>
      </c>
      <c r="P64" s="459">
        <f>Taulukko8[[#This Row],[Palvelut yhteensä, €]]/Taulukko8[[#This Row],[Työttömät 2022]]</f>
        <v>1590.0758772100558</v>
      </c>
      <c r="Q64" s="473">
        <v>67558.672046605236</v>
      </c>
      <c r="R64" s="459">
        <f>Taulukko8[[#This Row],[Toimintamenot, arvio]]/Taulukko8[[#This Row],[Työttömät 2022]]</f>
        <v>1378.7484091143926</v>
      </c>
      <c r="S64" s="473">
        <f>Taulukko8[[#This Row],[Palvelut yhteensä, €]]+Taulukko8[[#This Row],[Toimintamenot, arvio]]</f>
        <v>145472.39002989797</v>
      </c>
      <c r="T64" s="481">
        <f>(Taulukko8[[#This Row],[Palvelut + toimintamenot]]/$S$6)*$T$1</f>
        <v>152867.89336765104</v>
      </c>
      <c r="U64" s="483">
        <f>Taulukko8[[#This Row],[Palvelut + toimintamenot, skaalattu siirtyvän rahoituksen tasoon]]*0.5</f>
        <v>76433.946683825518</v>
      </c>
    </row>
    <row r="65" spans="1:21">
      <c r="A65" s="465">
        <v>182</v>
      </c>
      <c r="B65" s="456" t="s">
        <v>70</v>
      </c>
      <c r="C65" s="459">
        <v>19347</v>
      </c>
      <c r="D65" s="459">
        <v>8304</v>
      </c>
      <c r="E65" s="459">
        <v>1077</v>
      </c>
      <c r="F65" s="459">
        <v>349881</v>
      </c>
      <c r="G65" s="459">
        <v>41098.690340634261</v>
      </c>
      <c r="H65" s="459">
        <v>24659.214204380554</v>
      </c>
      <c r="I65" s="459">
        <v>142453.93257349185</v>
      </c>
      <c r="J65" s="459">
        <v>38323.527599118941</v>
      </c>
      <c r="K65" s="459">
        <v>13018.979326547686</v>
      </c>
      <c r="L65" s="459">
        <v>379562.78</v>
      </c>
      <c r="M65" s="459">
        <v>174265.88</v>
      </c>
      <c r="N65" s="459">
        <v>636976.86</v>
      </c>
      <c r="O65" s="473">
        <f>SUM(Taulukko8[[#This Row],[Muiden kuin pakolaisten osuus kotoutumiskoulutuksista,  €]:[Palkkatuki, yksityinen, €]])</f>
        <v>1409261.1737035392</v>
      </c>
      <c r="P65" s="459">
        <f>Taulukko8[[#This Row],[Palvelut yhteensä, €]]/Taulukko8[[#This Row],[Työttömät 2022]]</f>
        <v>1308.5061965678174</v>
      </c>
      <c r="Q65" s="473">
        <v>1009933.4365341964</v>
      </c>
      <c r="R65" s="459">
        <f>Taulukko8[[#This Row],[Toimintamenot, arvio]]/Taulukko8[[#This Row],[Työttömät 2022]]</f>
        <v>937.72835332794466</v>
      </c>
      <c r="S65" s="473">
        <f>Taulukko8[[#This Row],[Palvelut yhteensä, €]]+Taulukko8[[#This Row],[Toimintamenot, arvio]]</f>
        <v>2419194.6102377353</v>
      </c>
      <c r="T65" s="481">
        <f>(Taulukko8[[#This Row],[Palvelut + toimintamenot]]/$S$6)*$T$1</f>
        <v>2542181.2595325625</v>
      </c>
      <c r="U65" s="483">
        <f>Taulukko8[[#This Row],[Palvelut + toimintamenot, skaalattu siirtyvän rahoituksen tasoon]]*0.5</f>
        <v>1271090.6297662812</v>
      </c>
    </row>
    <row r="66" spans="1:21">
      <c r="A66" s="465">
        <v>186</v>
      </c>
      <c r="B66" s="456" t="s">
        <v>71</v>
      </c>
      <c r="C66" s="459">
        <v>45630</v>
      </c>
      <c r="D66" s="459">
        <v>23331</v>
      </c>
      <c r="E66" s="459">
        <v>2082</v>
      </c>
      <c r="F66" s="459">
        <v>544433</v>
      </c>
      <c r="G66" s="459">
        <v>471334.30250488874</v>
      </c>
      <c r="H66" s="459">
        <v>282800.58150293323</v>
      </c>
      <c r="I66" s="459">
        <v>248129.26239040907</v>
      </c>
      <c r="J66" s="459">
        <v>210588.36067085134</v>
      </c>
      <c r="K66" s="459">
        <v>55402.008863795745</v>
      </c>
      <c r="L66" s="459">
        <v>178786.35</v>
      </c>
      <c r="M66" s="459">
        <v>324757.2</v>
      </c>
      <c r="N66" s="459">
        <v>814664.47</v>
      </c>
      <c r="O66" s="473">
        <f>SUM(Taulukko8[[#This Row],[Muiden kuin pakolaisten osuus kotoutumiskoulutuksista,  €]:[Palkkatuki, yksityinen, €]])</f>
        <v>2115128.2334279893</v>
      </c>
      <c r="P66" s="459">
        <f>Taulukko8[[#This Row],[Palvelut yhteensä, €]]/Taulukko8[[#This Row],[Työttömät 2022]]</f>
        <v>1015.9117355561908</v>
      </c>
      <c r="Q66" s="473">
        <v>1625554.4539404432</v>
      </c>
      <c r="R66" s="459">
        <f>Taulukko8[[#This Row],[Toimintamenot, arvio]]/Taulukko8[[#This Row],[Työttömät 2022]]</f>
        <v>780.76582802134646</v>
      </c>
      <c r="S66" s="473">
        <f>Taulukko8[[#This Row],[Palvelut yhteensä, €]]+Taulukko8[[#This Row],[Toimintamenot, arvio]]</f>
        <v>3740682.6873684325</v>
      </c>
      <c r="T66" s="481">
        <f>(Taulukko8[[#This Row],[Palvelut + toimintamenot]]/$S$6)*$T$1</f>
        <v>3930850.9474363578</v>
      </c>
      <c r="U66" s="483">
        <f>Taulukko8[[#This Row],[Palvelut + toimintamenot, skaalattu siirtyvän rahoituksen tasoon]]*0.5</f>
        <v>1965425.4737181789</v>
      </c>
    </row>
    <row r="67" spans="1:21">
      <c r="A67" s="465">
        <v>202</v>
      </c>
      <c r="B67" s="456" t="s">
        <v>72</v>
      </c>
      <c r="C67" s="459">
        <v>35848</v>
      </c>
      <c r="D67" s="459">
        <v>17313</v>
      </c>
      <c r="E67" s="459">
        <v>911</v>
      </c>
      <c r="F67" s="459">
        <v>321242</v>
      </c>
      <c r="G67" s="459">
        <v>334668.54024237773</v>
      </c>
      <c r="H67" s="459">
        <v>200801.12414542664</v>
      </c>
      <c r="I67" s="459">
        <v>214109.28096496462</v>
      </c>
      <c r="J67" s="459">
        <v>110028.2207363184</v>
      </c>
      <c r="K67" s="459">
        <v>8567.3849944629019</v>
      </c>
      <c r="L67" s="459">
        <v>440406.08</v>
      </c>
      <c r="M67" s="459">
        <v>250827.52000000002</v>
      </c>
      <c r="N67" s="459">
        <v>477949.5</v>
      </c>
      <c r="O67" s="473">
        <f>SUM(Taulukko8[[#This Row],[Muiden kuin pakolaisten osuus kotoutumiskoulutuksista,  €]:[Palkkatuki, yksityinen, €]])</f>
        <v>1702689.1108411727</v>
      </c>
      <c r="P67" s="459">
        <f>Taulukko8[[#This Row],[Palvelut yhteensä, €]]/Taulukko8[[#This Row],[Työttömät 2022]]</f>
        <v>1869.0330525150084</v>
      </c>
      <c r="Q67" s="473">
        <v>901670.18121129833</v>
      </c>
      <c r="R67" s="459">
        <f>Taulukko8[[#This Row],[Toimintamenot, arvio]]/Taulukko8[[#This Row],[Työttömät 2022]]</f>
        <v>989.75870604972374</v>
      </c>
      <c r="S67" s="473">
        <f>Taulukko8[[#This Row],[Palvelut yhteensä, €]]+Taulukko8[[#This Row],[Toimintamenot, arvio]]</f>
        <v>2604359.2920524711</v>
      </c>
      <c r="T67" s="481">
        <f>(Taulukko8[[#This Row],[Palvelut + toimintamenot]]/$S$6)*$T$1</f>
        <v>2736759.3154048324</v>
      </c>
      <c r="U67" s="483">
        <f>Taulukko8[[#This Row],[Palvelut + toimintamenot, skaalattu siirtyvän rahoituksen tasoon]]*0.5</f>
        <v>1368379.6577024162</v>
      </c>
    </row>
    <row r="68" spans="1:21">
      <c r="A68" s="465">
        <v>204</v>
      </c>
      <c r="B68" s="456" t="s">
        <v>73</v>
      </c>
      <c r="C68" s="459">
        <v>2689</v>
      </c>
      <c r="D68" s="459">
        <v>1013</v>
      </c>
      <c r="E68" s="459">
        <v>113</v>
      </c>
      <c r="F68" s="459">
        <v>38350</v>
      </c>
      <c r="G68" s="459">
        <v>18334.392039999133</v>
      </c>
      <c r="H68" s="459">
        <v>11000.635223999479</v>
      </c>
      <c r="I68" s="459">
        <v>79532.08044090445</v>
      </c>
      <c r="J68" s="459">
        <v>22459.189206349209</v>
      </c>
      <c r="K68" s="459">
        <v>1322.8806927457751</v>
      </c>
      <c r="L68" s="459">
        <v>20179.509999999998</v>
      </c>
      <c r="M68" s="459">
        <v>776.94</v>
      </c>
      <c r="N68" s="459">
        <v>48748.43</v>
      </c>
      <c r="O68" s="473">
        <f>SUM(Taulukko8[[#This Row],[Muiden kuin pakolaisten osuus kotoutumiskoulutuksista,  €]:[Palkkatuki, yksityinen, €]])</f>
        <v>184019.66556399892</v>
      </c>
      <c r="P68" s="459">
        <f>Taulukko8[[#This Row],[Palvelut yhteensä, €]]/Taulukko8[[#This Row],[Työttömät 2022]]</f>
        <v>1628.4926156106098</v>
      </c>
      <c r="Q68" s="473">
        <v>118722.09589465098</v>
      </c>
      <c r="R68" s="459">
        <f>Taulukko8[[#This Row],[Toimintamenot, arvio]]/Taulukko8[[#This Row],[Työttömät 2022]]</f>
        <v>1050.6380167668228</v>
      </c>
      <c r="S68" s="473">
        <f>Taulukko8[[#This Row],[Palvelut yhteensä, €]]+Taulukko8[[#This Row],[Toimintamenot, arvio]]</f>
        <v>302741.76145864988</v>
      </c>
      <c r="T68" s="481">
        <f>(Taulukko8[[#This Row],[Palvelut + toimintamenot]]/$S$6)*$T$1</f>
        <v>318132.50128828036</v>
      </c>
      <c r="U68" s="483">
        <f>Taulukko8[[#This Row],[Palvelut + toimintamenot, skaalattu siirtyvän rahoituksen tasoon]]*0.5</f>
        <v>159066.25064414018</v>
      </c>
    </row>
    <row r="69" spans="1:21">
      <c r="A69" s="465">
        <v>205</v>
      </c>
      <c r="B69" s="456" t="s">
        <v>74</v>
      </c>
      <c r="C69" s="459">
        <v>36297</v>
      </c>
      <c r="D69" s="459">
        <v>16615</v>
      </c>
      <c r="E69" s="459">
        <v>1483</v>
      </c>
      <c r="F69" s="459">
        <v>536800</v>
      </c>
      <c r="G69" s="459">
        <v>907491.20571479504</v>
      </c>
      <c r="H69" s="459">
        <v>544494.72342887695</v>
      </c>
      <c r="I69" s="459">
        <v>962689.595766132</v>
      </c>
      <c r="J69" s="459">
        <v>126756.93891891891</v>
      </c>
      <c r="K69" s="459">
        <v>9869.8110544939846</v>
      </c>
      <c r="L69" s="459">
        <v>830877.23</v>
      </c>
      <c r="M69" s="459">
        <v>157450.23999999999</v>
      </c>
      <c r="N69" s="459">
        <v>2462272.4699999997</v>
      </c>
      <c r="O69" s="473">
        <f>SUM(Taulukko8[[#This Row],[Muiden kuin pakolaisten osuus kotoutumiskoulutuksista,  €]:[Palkkatuki, yksityinen, €]])</f>
        <v>5094411.0091684218</v>
      </c>
      <c r="P69" s="459">
        <f>Taulukko8[[#This Row],[Palvelut yhteensä, €]]/Taulukko8[[#This Row],[Työttömät 2022]]</f>
        <v>3435.2063446853822</v>
      </c>
      <c r="Q69" s="473">
        <v>1907581.4381760326</v>
      </c>
      <c r="R69" s="459">
        <f>Taulukko8[[#This Row],[Toimintamenot, arvio]]/Taulukko8[[#This Row],[Työttömät 2022]]</f>
        <v>1286.2990142791859</v>
      </c>
      <c r="S69" s="473">
        <f>Taulukko8[[#This Row],[Palvelut yhteensä, €]]+Taulukko8[[#This Row],[Toimintamenot, arvio]]</f>
        <v>7001992.447344454</v>
      </c>
      <c r="T69" s="481">
        <f>(Taulukko8[[#This Row],[Palvelut + toimintamenot]]/$S$6)*$T$1</f>
        <v>7357958.6791814025</v>
      </c>
      <c r="U69" s="483">
        <f>Taulukko8[[#This Row],[Palvelut + toimintamenot, skaalattu siirtyvän rahoituksen tasoon]]*0.5</f>
        <v>3678979.3395907013</v>
      </c>
    </row>
    <row r="70" spans="1:21">
      <c r="A70" s="465">
        <v>208</v>
      </c>
      <c r="B70" s="456" t="s">
        <v>75</v>
      </c>
      <c r="C70" s="459">
        <v>12335</v>
      </c>
      <c r="D70" s="459">
        <v>5377</v>
      </c>
      <c r="E70" s="459">
        <v>364</v>
      </c>
      <c r="F70" s="459">
        <v>125260</v>
      </c>
      <c r="G70" s="459">
        <v>27108.909759273622</v>
      </c>
      <c r="H70" s="459">
        <v>16265.345855564172</v>
      </c>
      <c r="I70" s="459">
        <v>74639.274190900862</v>
      </c>
      <c r="J70" s="459">
        <v>805.58832369942195</v>
      </c>
      <c r="K70" s="459">
        <v>4216.9181121385427</v>
      </c>
      <c r="L70" s="459">
        <v>116900.57</v>
      </c>
      <c r="M70" s="459">
        <v>125203</v>
      </c>
      <c r="N70" s="459">
        <v>257357.82</v>
      </c>
      <c r="O70" s="473">
        <f>SUM(Taulukko8[[#This Row],[Muiden kuin pakolaisten osuus kotoutumiskoulutuksista,  €]:[Palkkatuki, yksityinen, €]])</f>
        <v>595388.51648230304</v>
      </c>
      <c r="P70" s="459">
        <f>Taulukko8[[#This Row],[Palvelut yhteensä, €]]/Taulukko8[[#This Row],[Työttömät 2022]]</f>
        <v>1635.6827375887447</v>
      </c>
      <c r="Q70" s="473">
        <v>355060.54208020237</v>
      </c>
      <c r="R70" s="459">
        <f>Taulukko8[[#This Row],[Toimintamenot, arvio]]/Taulukko8[[#This Row],[Työttömät 2022]]</f>
        <v>975.4410496708856</v>
      </c>
      <c r="S70" s="473">
        <f>Taulukko8[[#This Row],[Palvelut yhteensä, €]]+Taulukko8[[#This Row],[Toimintamenot, arvio]]</f>
        <v>950449.05856250541</v>
      </c>
      <c r="T70" s="481">
        <f>(Taulukko8[[#This Row],[Palvelut + toimintamenot]]/$S$6)*$T$1</f>
        <v>998767.84389021364</v>
      </c>
      <c r="U70" s="483">
        <f>Taulukko8[[#This Row],[Palvelut + toimintamenot, skaalattu siirtyvän rahoituksen tasoon]]*0.5</f>
        <v>499383.92194510682</v>
      </c>
    </row>
    <row r="71" spans="1:21">
      <c r="A71" s="465">
        <v>211</v>
      </c>
      <c r="B71" s="456" t="s">
        <v>76</v>
      </c>
      <c r="C71" s="459">
        <v>32959</v>
      </c>
      <c r="D71" s="459">
        <v>15904</v>
      </c>
      <c r="E71" s="459">
        <v>1060</v>
      </c>
      <c r="F71" s="459">
        <v>320001</v>
      </c>
      <c r="G71" s="459">
        <v>118918.91796001728</v>
      </c>
      <c r="H71" s="459">
        <v>71351.350776010368</v>
      </c>
      <c r="I71" s="459">
        <v>173142.20247260176</v>
      </c>
      <c r="J71" s="459">
        <v>114699.31207547169</v>
      </c>
      <c r="K71" s="459">
        <v>9302.923843483155</v>
      </c>
      <c r="L71" s="459">
        <v>273869.78999999998</v>
      </c>
      <c r="M71" s="459">
        <v>325930.36</v>
      </c>
      <c r="N71" s="459">
        <v>426717.61</v>
      </c>
      <c r="O71" s="473">
        <f>SUM(Taulukko8[[#This Row],[Muiden kuin pakolaisten osuus kotoutumiskoulutuksista,  €]:[Palkkatuki, yksityinen, €]])</f>
        <v>1395013.5491675669</v>
      </c>
      <c r="P71" s="459">
        <f>Taulukko8[[#This Row],[Palvelut yhteensä, €]]/Taulukko8[[#This Row],[Työttömät 2022]]</f>
        <v>1316.0505180826103</v>
      </c>
      <c r="Q71" s="473">
        <v>877512.94338236563</v>
      </c>
      <c r="R71" s="459">
        <f>Taulukko8[[#This Row],[Toimintamenot, arvio]]/Taulukko8[[#This Row],[Työttömät 2022]]</f>
        <v>827.84239941732608</v>
      </c>
      <c r="S71" s="473">
        <f>Taulukko8[[#This Row],[Palvelut yhteensä, €]]+Taulukko8[[#This Row],[Toimintamenot, arvio]]</f>
        <v>2272526.4925499326</v>
      </c>
      <c r="T71" s="481">
        <f>(Taulukko8[[#This Row],[Palvelut + toimintamenot]]/$S$6)*$T$1</f>
        <v>2388056.8502853843</v>
      </c>
      <c r="U71" s="483">
        <f>Taulukko8[[#This Row],[Palvelut + toimintamenot, skaalattu siirtyvän rahoituksen tasoon]]*0.5</f>
        <v>1194028.4251426922</v>
      </c>
    </row>
    <row r="72" spans="1:21">
      <c r="A72" s="465">
        <v>213</v>
      </c>
      <c r="B72" s="456" t="s">
        <v>77</v>
      </c>
      <c r="C72" s="459">
        <v>5154</v>
      </c>
      <c r="D72" s="459">
        <v>2037</v>
      </c>
      <c r="E72" s="459">
        <v>192</v>
      </c>
      <c r="F72" s="459">
        <v>61355</v>
      </c>
      <c r="G72" s="459">
        <v>22011.513580306251</v>
      </c>
      <c r="H72" s="459">
        <v>13206.908148183751</v>
      </c>
      <c r="I72" s="459">
        <v>41871.716390853537</v>
      </c>
      <c r="J72" s="459">
        <v>26036.729473684209</v>
      </c>
      <c r="K72" s="459">
        <v>17365.377969230769</v>
      </c>
      <c r="L72" s="459">
        <v>173685.64</v>
      </c>
      <c r="M72" s="459">
        <v>51757.279999999999</v>
      </c>
      <c r="N72" s="459">
        <v>337757.78</v>
      </c>
      <c r="O72" s="473">
        <f>SUM(Taulukko8[[#This Row],[Muiden kuin pakolaisten osuus kotoutumiskoulutuksista,  €]:[Palkkatuki, yksityinen, €]])</f>
        <v>661681.43198195228</v>
      </c>
      <c r="P72" s="459">
        <f>Taulukko8[[#This Row],[Palvelut yhteensä, €]]/Taulukko8[[#This Row],[Työttömät 2022]]</f>
        <v>3446.2574582393349</v>
      </c>
      <c r="Q72" s="473">
        <v>196719.80617313448</v>
      </c>
      <c r="R72" s="459">
        <f>Taulukko8[[#This Row],[Toimintamenot, arvio]]/Taulukko8[[#This Row],[Työttömät 2022]]</f>
        <v>1024.5823238184087</v>
      </c>
      <c r="S72" s="473">
        <f>Taulukko8[[#This Row],[Palvelut yhteensä, €]]+Taulukko8[[#This Row],[Toimintamenot, arvio]]</f>
        <v>858401.23815508676</v>
      </c>
      <c r="T72" s="481">
        <f>(Taulukko8[[#This Row],[Palvelut + toimintamenot]]/$S$6)*$T$1</f>
        <v>902040.51032627048</v>
      </c>
      <c r="U72" s="483">
        <f>Taulukko8[[#This Row],[Palvelut + toimintamenot, skaalattu siirtyvän rahoituksen tasoon]]*0.5</f>
        <v>451020.25516313524</v>
      </c>
    </row>
    <row r="73" spans="1:21">
      <c r="A73" s="465">
        <v>214</v>
      </c>
      <c r="B73" s="456" t="s">
        <v>78</v>
      </c>
      <c r="C73" s="459">
        <v>12528</v>
      </c>
      <c r="D73" s="459">
        <v>5409</v>
      </c>
      <c r="E73" s="459">
        <v>482</v>
      </c>
      <c r="F73" s="459">
        <v>200006</v>
      </c>
      <c r="G73" s="459">
        <v>78853.221319359523</v>
      </c>
      <c r="H73" s="459">
        <v>47311.932791615713</v>
      </c>
      <c r="I73" s="459">
        <v>189192.80889665213</v>
      </c>
      <c r="J73" s="459">
        <v>4499.3450931677016</v>
      </c>
      <c r="K73" s="459">
        <v>13433.24029878189</v>
      </c>
      <c r="L73" s="459">
        <v>117816.66</v>
      </c>
      <c r="M73" s="459">
        <v>40390.879999999997</v>
      </c>
      <c r="N73" s="459">
        <v>591739.72</v>
      </c>
      <c r="O73" s="473">
        <f>SUM(Taulukko8[[#This Row],[Muiden kuin pakolaisten osuus kotoutumiskoulutuksista,  €]:[Palkkatuki, yksityinen, €]])</f>
        <v>1004384.5870802174</v>
      </c>
      <c r="P73" s="459">
        <f>Taulukko8[[#This Row],[Palvelut yhteensä, €]]/Taulukko8[[#This Row],[Työttömät 2022]]</f>
        <v>2083.7854503738949</v>
      </c>
      <c r="Q73" s="473">
        <v>668652.99689990736</v>
      </c>
      <c r="R73" s="459">
        <f>Taulukko8[[#This Row],[Toimintamenot, arvio]]/Taulukko8[[#This Row],[Työttömät 2022]]</f>
        <v>1387.2468815350776</v>
      </c>
      <c r="S73" s="473">
        <f>Taulukko8[[#This Row],[Palvelut yhteensä, €]]+Taulukko8[[#This Row],[Toimintamenot, arvio]]</f>
        <v>1673037.5839801249</v>
      </c>
      <c r="T73" s="481">
        <f>(Taulukko8[[#This Row],[Palvelut + toimintamenot]]/$S$6)*$T$1</f>
        <v>1758091.2153528437</v>
      </c>
      <c r="U73" s="483">
        <f>Taulukko8[[#This Row],[Palvelut + toimintamenot, skaalattu siirtyvän rahoituksen tasoon]]*0.5</f>
        <v>879045.60767642187</v>
      </c>
    </row>
    <row r="74" spans="1:21">
      <c r="A74" s="465">
        <v>216</v>
      </c>
      <c r="B74" s="456" t="s">
        <v>79</v>
      </c>
      <c r="C74" s="459">
        <v>1269</v>
      </c>
      <c r="D74" s="459">
        <v>497</v>
      </c>
      <c r="E74" s="459">
        <v>61</v>
      </c>
      <c r="F74" s="459">
        <v>17965</v>
      </c>
      <c r="G74" s="459">
        <v>1821.8763133153932</v>
      </c>
      <c r="H74" s="459">
        <v>1093.125787989236</v>
      </c>
      <c r="I74" s="459">
        <v>6314.8835970977962</v>
      </c>
      <c r="J74" s="459">
        <v>0</v>
      </c>
      <c r="K74" s="459">
        <v>737.37951617401006</v>
      </c>
      <c r="L74" s="459">
        <v>68369.83</v>
      </c>
      <c r="M74" s="459">
        <v>26576.760000000002</v>
      </c>
      <c r="N74" s="459">
        <v>24825.93</v>
      </c>
      <c r="O74" s="473">
        <f>SUM(Taulukko8[[#This Row],[Muiden kuin pakolaisten osuus kotoutumiskoulutuksista,  €]:[Palkkatuki, yksityinen, €]])</f>
        <v>127917.90890126105</v>
      </c>
      <c r="P74" s="459">
        <f>Taulukko8[[#This Row],[Palvelut yhteensä, €]]/Taulukko8[[#This Row],[Työttömät 2022]]</f>
        <v>2097.0149000206729</v>
      </c>
      <c r="Q74" s="473">
        <v>51856.071599591967</v>
      </c>
      <c r="R74" s="459">
        <f>Taulukko8[[#This Row],[Toimintamenot, arvio]]/Taulukko8[[#This Row],[Työttömät 2022]]</f>
        <v>850.09953441954042</v>
      </c>
      <c r="S74" s="473">
        <f>Taulukko8[[#This Row],[Palvelut yhteensä, €]]+Taulukko8[[#This Row],[Toimintamenot, arvio]]</f>
        <v>179773.98050085301</v>
      </c>
      <c r="T74" s="481">
        <f>(Taulukko8[[#This Row],[Palvelut + toimintamenot]]/$S$6)*$T$1</f>
        <v>188913.3029012203</v>
      </c>
      <c r="U74" s="483">
        <f>Taulukko8[[#This Row],[Palvelut + toimintamenot, skaalattu siirtyvän rahoituksen tasoon]]*0.5</f>
        <v>94456.651450610152</v>
      </c>
    </row>
    <row r="75" spans="1:21">
      <c r="A75" s="465">
        <v>217</v>
      </c>
      <c r="B75" s="456" t="s">
        <v>80</v>
      </c>
      <c r="C75" s="459">
        <v>5352</v>
      </c>
      <c r="D75" s="459">
        <v>2404</v>
      </c>
      <c r="E75" s="459">
        <v>167</v>
      </c>
      <c r="F75" s="459">
        <v>58426</v>
      </c>
      <c r="G75" s="459">
        <v>11267.167604464534</v>
      </c>
      <c r="H75" s="459">
        <v>6760.3005626787199</v>
      </c>
      <c r="I75" s="459">
        <v>30082.689198413431</v>
      </c>
      <c r="J75" s="459">
        <v>16909.340634920634</v>
      </c>
      <c r="K75" s="459">
        <v>7264.4537073821521</v>
      </c>
      <c r="L75" s="459">
        <v>24857.120000000003</v>
      </c>
      <c r="M75" s="459">
        <v>23359.399999999998</v>
      </c>
      <c r="N75" s="459">
        <v>119791.25</v>
      </c>
      <c r="O75" s="473">
        <f>SUM(Taulukko8[[#This Row],[Muiden kuin pakolaisten osuus kotoutumiskoulutuksista,  €]:[Palkkatuki, yksityinen, €]])</f>
        <v>229024.55410339494</v>
      </c>
      <c r="P75" s="459">
        <f>Taulukko8[[#This Row],[Palvelut yhteensä, €]]/Taulukko8[[#This Row],[Työttömät 2022]]</f>
        <v>1371.4045155891913</v>
      </c>
      <c r="Q75" s="473">
        <v>187305.75744429033</v>
      </c>
      <c r="R75" s="459">
        <f>Taulukko8[[#This Row],[Toimintamenot, arvio]]/Taulukko8[[#This Row],[Työttömät 2022]]</f>
        <v>1121.5913619418582</v>
      </c>
      <c r="S75" s="473">
        <f>Taulukko8[[#This Row],[Palvelut yhteensä, €]]+Taulukko8[[#This Row],[Toimintamenot, arvio]]</f>
        <v>416330.3115476853</v>
      </c>
      <c r="T75" s="481">
        <f>(Taulukko8[[#This Row],[Palvelut + toimintamenot]]/$S$6)*$T$1</f>
        <v>437495.64888782165</v>
      </c>
      <c r="U75" s="483">
        <f>Taulukko8[[#This Row],[Palvelut + toimintamenot, skaalattu siirtyvän rahoituksen tasoon]]*0.5</f>
        <v>218747.82444391082</v>
      </c>
    </row>
    <row r="76" spans="1:21">
      <c r="A76" s="465">
        <v>218</v>
      </c>
      <c r="B76" s="456" t="s">
        <v>81</v>
      </c>
      <c r="C76" s="459">
        <v>1200</v>
      </c>
      <c r="D76" s="459">
        <v>514</v>
      </c>
      <c r="E76" s="459">
        <v>33</v>
      </c>
      <c r="F76" s="459">
        <v>10973</v>
      </c>
      <c r="G76" s="459">
        <v>8794.5807627922568</v>
      </c>
      <c r="H76" s="459">
        <v>5276.7484576753541</v>
      </c>
      <c r="I76" s="459">
        <v>14331.14446180459</v>
      </c>
      <c r="J76" s="459">
        <v>3911.1681673306771</v>
      </c>
      <c r="K76" s="459">
        <v>437.59869384809662</v>
      </c>
      <c r="L76" s="459">
        <v>6916.84</v>
      </c>
      <c r="M76" s="459">
        <v>8223.4</v>
      </c>
      <c r="N76" s="459">
        <v>19252.96</v>
      </c>
      <c r="O76" s="473">
        <f>SUM(Taulukko8[[#This Row],[Muiden kuin pakolaisten osuus kotoutumiskoulutuksista,  €]:[Palkkatuki, yksityinen, €]])</f>
        <v>58349.859780658713</v>
      </c>
      <c r="P76" s="459">
        <f>Taulukko8[[#This Row],[Palvelut yhteensä, €]]/Taulukko8[[#This Row],[Työttömät 2022]]</f>
        <v>1768.1775691108701</v>
      </c>
      <c r="Q76" s="473">
        <v>38778.605131910161</v>
      </c>
      <c r="R76" s="459">
        <f>Taulukko8[[#This Row],[Toimintamenot, arvio]]/Taulukko8[[#This Row],[Työttömät 2022]]</f>
        <v>1175.1092464215201</v>
      </c>
      <c r="S76" s="473">
        <f>Taulukko8[[#This Row],[Palvelut yhteensä, €]]+Taulukko8[[#This Row],[Toimintamenot, arvio]]</f>
        <v>97128.464912568874</v>
      </c>
      <c r="T76" s="481">
        <f>(Taulukko8[[#This Row],[Palvelut + toimintamenot]]/$S$6)*$T$1</f>
        <v>102066.26710516436</v>
      </c>
      <c r="U76" s="483">
        <f>Taulukko8[[#This Row],[Palvelut + toimintamenot, skaalattu siirtyvän rahoituksen tasoon]]*0.5</f>
        <v>51033.133552582178</v>
      </c>
    </row>
    <row r="77" spans="1:21">
      <c r="A77" s="465">
        <v>224</v>
      </c>
      <c r="B77" s="456" t="s">
        <v>82</v>
      </c>
      <c r="C77" s="459">
        <v>8603</v>
      </c>
      <c r="D77" s="459">
        <v>3980</v>
      </c>
      <c r="E77" s="459">
        <v>372</v>
      </c>
      <c r="F77" s="459">
        <v>131602</v>
      </c>
      <c r="G77" s="459">
        <v>44819.727503269925</v>
      </c>
      <c r="H77" s="459">
        <v>26891.836501961956</v>
      </c>
      <c r="I77" s="459">
        <v>23594.900406829925</v>
      </c>
      <c r="J77" s="459">
        <v>39640.162008630839</v>
      </c>
      <c r="K77" s="459">
        <v>9898.918010245925</v>
      </c>
      <c r="L77" s="459">
        <v>237910.31999999998</v>
      </c>
      <c r="M77" s="459">
        <v>61467.100000000006</v>
      </c>
      <c r="N77" s="459">
        <v>349453.67000000004</v>
      </c>
      <c r="O77" s="473">
        <f>SUM(Taulukko8[[#This Row],[Muiden kuin pakolaisten osuus kotoutumiskoulutuksista,  €]:[Palkkatuki, yksityinen, €]])</f>
        <v>748856.90692766861</v>
      </c>
      <c r="P77" s="459">
        <f>Taulukko8[[#This Row],[Palvelut yhteensä, €]]/Taulukko8[[#This Row],[Työttömät 2022]]</f>
        <v>2013.0562014184641</v>
      </c>
      <c r="Q77" s="473">
        <v>392933.96478073555</v>
      </c>
      <c r="R77" s="459">
        <f>Taulukko8[[#This Row],[Toimintamenot, arvio]]/Taulukko8[[#This Row],[Työttömät 2022]]</f>
        <v>1056.2740988729449</v>
      </c>
      <c r="S77" s="473">
        <f>Taulukko8[[#This Row],[Palvelut yhteensä, €]]+Taulukko8[[#This Row],[Toimintamenot, arvio]]</f>
        <v>1141790.8717084043</v>
      </c>
      <c r="T77" s="481">
        <f>(Taulukko8[[#This Row],[Palvelut + toimintamenot]]/$S$6)*$T$1</f>
        <v>1199837.0631609543</v>
      </c>
      <c r="U77" s="483">
        <f>Taulukko8[[#This Row],[Palvelut + toimintamenot, skaalattu siirtyvän rahoituksen tasoon]]*0.5</f>
        <v>599918.53158047714</v>
      </c>
    </row>
    <row r="78" spans="1:21">
      <c r="A78" s="465">
        <v>226</v>
      </c>
      <c r="B78" s="456" t="s">
        <v>83</v>
      </c>
      <c r="C78" s="459">
        <v>3665</v>
      </c>
      <c r="D78" s="459">
        <v>1478</v>
      </c>
      <c r="E78" s="459">
        <v>166</v>
      </c>
      <c r="F78" s="459">
        <v>54338</v>
      </c>
      <c r="G78" s="459">
        <v>4755.8069996934291</v>
      </c>
      <c r="H78" s="459">
        <v>2853.4841998160573</v>
      </c>
      <c r="I78" s="459">
        <v>16484.306532683859</v>
      </c>
      <c r="J78" s="459">
        <v>4998.720991189427</v>
      </c>
      <c r="K78" s="459">
        <v>2006.6393390964865</v>
      </c>
      <c r="L78" s="459">
        <v>141919.28</v>
      </c>
      <c r="M78" s="459">
        <v>28397.9</v>
      </c>
      <c r="N78" s="459">
        <v>167278.06</v>
      </c>
      <c r="O78" s="473">
        <f>SUM(Taulukko8[[#This Row],[Muiden kuin pakolaisten osuus kotoutumiskoulutuksista,  €]:[Palkkatuki, yksityinen, €]])</f>
        <v>363938.39106278581</v>
      </c>
      <c r="P78" s="459">
        <f>Taulukko8[[#This Row],[Palvelut yhteensä, €]]/Taulukko8[[#This Row],[Työttömät 2022]]</f>
        <v>2192.3999461613603</v>
      </c>
      <c r="Q78" s="473">
        <v>156846.93674247863</v>
      </c>
      <c r="R78" s="459">
        <f>Taulukko8[[#This Row],[Toimintamenot, arvio]]/Taulukko8[[#This Row],[Työttömät 2022]]</f>
        <v>944.86106471372671</v>
      </c>
      <c r="S78" s="473">
        <f>Taulukko8[[#This Row],[Palvelut yhteensä, €]]+Taulukko8[[#This Row],[Toimintamenot, arvio]]</f>
        <v>520785.32780526445</v>
      </c>
      <c r="T78" s="481">
        <f>(Taulukko8[[#This Row],[Palvelut + toimintamenot]]/$S$6)*$T$1</f>
        <v>547260.9334459299</v>
      </c>
      <c r="U78" s="483">
        <f>Taulukko8[[#This Row],[Palvelut + toimintamenot, skaalattu siirtyvän rahoituksen tasoon]]*0.5</f>
        <v>273630.46672296495</v>
      </c>
    </row>
    <row r="79" spans="1:21">
      <c r="A79" s="465">
        <v>230</v>
      </c>
      <c r="B79" s="456" t="s">
        <v>84</v>
      </c>
      <c r="C79" s="459">
        <v>2240</v>
      </c>
      <c r="D79" s="459">
        <v>942</v>
      </c>
      <c r="E79" s="459">
        <v>70</v>
      </c>
      <c r="F79" s="459">
        <v>31432</v>
      </c>
      <c r="G79" s="459">
        <v>765.2680640465793</v>
      </c>
      <c r="H79" s="459">
        <v>459.16083842794757</v>
      </c>
      <c r="I79" s="459">
        <v>1836.1103347889375</v>
      </c>
      <c r="J79" s="459">
        <v>0</v>
      </c>
      <c r="K79" s="459">
        <v>1950.885520569984</v>
      </c>
      <c r="L79" s="459">
        <v>28714.18</v>
      </c>
      <c r="M79" s="459">
        <v>14937.5</v>
      </c>
      <c r="N79" s="459">
        <v>65182.27</v>
      </c>
      <c r="O79" s="473">
        <f>SUM(Taulukko8[[#This Row],[Muiden kuin pakolaisten osuus kotoutumiskoulutuksista,  €]:[Palkkatuki, yksityinen, €]])</f>
        <v>113080.10669378686</v>
      </c>
      <c r="P79" s="459">
        <f>Taulukko8[[#This Row],[Palvelut yhteensä, €]]/Taulukko8[[#This Row],[Työttömät 2022]]</f>
        <v>1615.4300956255265</v>
      </c>
      <c r="Q79" s="473">
        <v>105082.35252221375</v>
      </c>
      <c r="R79" s="459">
        <f>Taulukko8[[#This Row],[Toimintamenot, arvio]]/Taulukko8[[#This Row],[Työttömät 2022]]</f>
        <v>1501.1764646030535</v>
      </c>
      <c r="S79" s="473">
        <f>Taulukko8[[#This Row],[Palvelut yhteensä, €]]+Taulukko8[[#This Row],[Toimintamenot, arvio]]</f>
        <v>218162.45921600063</v>
      </c>
      <c r="T79" s="481">
        <f>(Taulukko8[[#This Row],[Palvelut + toimintamenot]]/$S$6)*$T$1</f>
        <v>229253.36928472744</v>
      </c>
      <c r="U79" s="483">
        <f>Taulukko8[[#This Row],[Palvelut + toimintamenot, skaalattu siirtyvän rahoituksen tasoon]]*0.5</f>
        <v>114626.68464236372</v>
      </c>
    </row>
    <row r="80" spans="1:21">
      <c r="A80" s="465">
        <v>231</v>
      </c>
      <c r="B80" s="456" t="s">
        <v>85</v>
      </c>
      <c r="C80" s="459">
        <v>1256</v>
      </c>
      <c r="D80" s="459">
        <v>511</v>
      </c>
      <c r="E80" s="459">
        <v>41</v>
      </c>
      <c r="F80" s="459">
        <v>14542</v>
      </c>
      <c r="G80" s="459">
        <v>281.67919011161331</v>
      </c>
      <c r="H80" s="459">
        <v>169.00751406696799</v>
      </c>
      <c r="I80" s="459">
        <v>752.06722996033568</v>
      </c>
      <c r="J80" s="459">
        <v>11272.893756613756</v>
      </c>
      <c r="K80" s="459">
        <v>1783.4886347465165</v>
      </c>
      <c r="L80" s="459">
        <v>43254.729999999996</v>
      </c>
      <c r="M80" s="459">
        <v>8249.34</v>
      </c>
      <c r="N80" s="459">
        <v>13513.28</v>
      </c>
      <c r="O80" s="473">
        <f>SUM(Taulukko8[[#This Row],[Muiden kuin pakolaisten osuus kotoutumiskoulutuksista,  €]:[Palkkatuki, yksityinen, €]])</f>
        <v>78994.807135387571</v>
      </c>
      <c r="P80" s="459">
        <f>Taulukko8[[#This Row],[Palvelut yhteensä, €]]/Taulukko8[[#This Row],[Työttömät 2022]]</f>
        <v>1926.7026130582335</v>
      </c>
      <c r="Q80" s="473">
        <v>46619.661191162661</v>
      </c>
      <c r="R80" s="459">
        <f>Taulukko8[[#This Row],[Toimintamenot, arvio]]/Taulukko8[[#This Row],[Työttömät 2022]]</f>
        <v>1137.0649071015282</v>
      </c>
      <c r="S80" s="473">
        <f>Taulukko8[[#This Row],[Palvelut yhteensä, €]]+Taulukko8[[#This Row],[Toimintamenot, arvio]]</f>
        <v>125614.46832655024</v>
      </c>
      <c r="T80" s="481">
        <f>(Taulukko8[[#This Row],[Palvelut + toimintamenot]]/$S$6)*$T$1</f>
        <v>132000.43764752001</v>
      </c>
      <c r="U80" s="483">
        <f>Taulukko8[[#This Row],[Palvelut + toimintamenot, skaalattu siirtyvän rahoituksen tasoon]]*0.5</f>
        <v>66000.218823760006</v>
      </c>
    </row>
    <row r="81" spans="1:21">
      <c r="A81" s="465">
        <v>232</v>
      </c>
      <c r="B81" s="456" t="s">
        <v>86</v>
      </c>
      <c r="C81" s="459">
        <v>12750</v>
      </c>
      <c r="D81" s="459">
        <v>5586</v>
      </c>
      <c r="E81" s="459">
        <v>472</v>
      </c>
      <c r="F81" s="459">
        <v>156077</v>
      </c>
      <c r="G81" s="459">
        <v>43669.642408347754</v>
      </c>
      <c r="H81" s="459">
        <v>26201.785445008652</v>
      </c>
      <c r="I81" s="459">
        <v>71161.544913788297</v>
      </c>
      <c r="J81" s="459">
        <v>78223.363346613536</v>
      </c>
      <c r="K81" s="459">
        <v>6258.9873786758071</v>
      </c>
      <c r="L81" s="459">
        <v>361251.60000000003</v>
      </c>
      <c r="M81" s="459">
        <v>69347.179999999993</v>
      </c>
      <c r="N81" s="459">
        <v>320424.05000000005</v>
      </c>
      <c r="O81" s="473">
        <f>SUM(Taulukko8[[#This Row],[Muiden kuin pakolaisten osuus kotoutumiskoulutuksista,  €]:[Palkkatuki, yksityinen, €]])</f>
        <v>932868.51108408626</v>
      </c>
      <c r="P81" s="459">
        <f>Taulukko8[[#This Row],[Palvelut yhteensä, €]]/Taulukko8[[#This Row],[Työttömät 2022]]</f>
        <v>1976.4163370425556</v>
      </c>
      <c r="Q81" s="473">
        <v>551576.44702206703</v>
      </c>
      <c r="R81" s="459">
        <f>Taulukko8[[#This Row],[Toimintamenot, arvio]]/Taulukko8[[#This Row],[Työttömät 2022]]</f>
        <v>1168.5941674196335</v>
      </c>
      <c r="S81" s="473">
        <f>Taulukko8[[#This Row],[Palvelut yhteensä, €]]+Taulukko8[[#This Row],[Toimintamenot, arvio]]</f>
        <v>1484444.9581061532</v>
      </c>
      <c r="T81" s="481">
        <f>(Taulukko8[[#This Row],[Palvelut + toimintamenot]]/$S$6)*$T$1</f>
        <v>1559910.9461202945</v>
      </c>
      <c r="U81" s="483">
        <f>Taulukko8[[#This Row],[Palvelut + toimintamenot, skaalattu siirtyvän rahoituksen tasoon]]*0.5</f>
        <v>779955.47306014725</v>
      </c>
    </row>
    <row r="82" spans="1:21">
      <c r="A82" s="465">
        <v>233</v>
      </c>
      <c r="B82" s="456" t="s">
        <v>87</v>
      </c>
      <c r="C82" s="459">
        <v>15116</v>
      </c>
      <c r="D82" s="459">
        <v>6481</v>
      </c>
      <c r="E82" s="459">
        <v>386</v>
      </c>
      <c r="F82" s="459">
        <v>130746</v>
      </c>
      <c r="G82" s="459">
        <v>69446.861885497448</v>
      </c>
      <c r="H82" s="459">
        <v>41668.117131298466</v>
      </c>
      <c r="I82" s="459">
        <v>113166.62350873277</v>
      </c>
      <c r="J82" s="459">
        <v>70401.027011952188</v>
      </c>
      <c r="K82" s="459">
        <v>5118.5786613747059</v>
      </c>
      <c r="L82" s="459">
        <v>114777.83</v>
      </c>
      <c r="M82" s="459">
        <v>37362.78</v>
      </c>
      <c r="N82" s="459">
        <v>349604.44</v>
      </c>
      <c r="O82" s="473">
        <f>SUM(Taulukko8[[#This Row],[Muiden kuin pakolaisten osuus kotoutumiskoulutuksista,  €]:[Palkkatuki, yksityinen, €]])</f>
        <v>732099.3963133581</v>
      </c>
      <c r="P82" s="459">
        <f>Taulukko8[[#This Row],[Palvelut yhteensä, €]]/Taulukko8[[#This Row],[Työttömät 2022]]</f>
        <v>1896.6305603973008</v>
      </c>
      <c r="Q82" s="473">
        <v>462056.63962241192</v>
      </c>
      <c r="R82" s="459">
        <f>Taulukko8[[#This Row],[Toimintamenot, arvio]]/Taulukko8[[#This Row],[Työttömät 2022]]</f>
        <v>1197.0379264829323</v>
      </c>
      <c r="S82" s="473">
        <f>Taulukko8[[#This Row],[Palvelut yhteensä, €]]+Taulukko8[[#This Row],[Toimintamenot, arvio]]</f>
        <v>1194156.03593577</v>
      </c>
      <c r="T82" s="481">
        <f>(Taulukko8[[#This Row],[Palvelut + toimintamenot]]/$S$6)*$T$1</f>
        <v>1254864.359678481</v>
      </c>
      <c r="U82" s="483">
        <f>Taulukko8[[#This Row],[Palvelut + toimintamenot, skaalattu siirtyvän rahoituksen tasoon]]*0.5</f>
        <v>627432.1798392405</v>
      </c>
    </row>
    <row r="83" spans="1:21">
      <c r="A83" s="465">
        <v>235</v>
      </c>
      <c r="B83" s="456" t="s">
        <v>88</v>
      </c>
      <c r="C83" s="459">
        <v>10284</v>
      </c>
      <c r="D83" s="459">
        <v>4783</v>
      </c>
      <c r="E83" s="459">
        <v>265</v>
      </c>
      <c r="F83" s="459">
        <v>76511</v>
      </c>
      <c r="G83" s="459">
        <v>152704.38131645063</v>
      </c>
      <c r="H83" s="459">
        <v>91622.628789870374</v>
      </c>
      <c r="I83" s="459">
        <v>80389.704925924962</v>
      </c>
      <c r="J83" s="459">
        <v>39640.162008630839</v>
      </c>
      <c r="K83" s="459">
        <v>7051.6485825676618</v>
      </c>
      <c r="L83" s="459">
        <v>64359.759999999995</v>
      </c>
      <c r="M83" s="459">
        <v>77098.759999999995</v>
      </c>
      <c r="N83" s="459">
        <v>60311.08</v>
      </c>
      <c r="O83" s="473">
        <f>SUM(Taulukko8[[#This Row],[Muiden kuin pakolaisten osuus kotoutumiskoulutuksista,  €]:[Palkkatuki, yksityinen, €]])</f>
        <v>420473.74430699385</v>
      </c>
      <c r="P83" s="459">
        <f>Taulukko8[[#This Row],[Palvelut yhteensä, €]]/Taulukko8[[#This Row],[Työttömät 2022]]</f>
        <v>1586.6933747433729</v>
      </c>
      <c r="Q83" s="473">
        <v>228444.63290329068</v>
      </c>
      <c r="R83" s="459">
        <f>Taulukko8[[#This Row],[Toimintamenot, arvio]]/Taulukko8[[#This Row],[Työttömät 2022]]</f>
        <v>862.05521850298373</v>
      </c>
      <c r="S83" s="473">
        <f>Taulukko8[[#This Row],[Palvelut yhteensä, €]]+Taulukko8[[#This Row],[Toimintamenot, arvio]]</f>
        <v>648918.37721028458</v>
      </c>
      <c r="T83" s="481">
        <f>(Taulukko8[[#This Row],[Palvelut + toimintamenot]]/$S$6)*$T$1</f>
        <v>681907.99141543824</v>
      </c>
      <c r="U83" s="483">
        <f>Taulukko8[[#This Row],[Palvelut + toimintamenot, skaalattu siirtyvän rahoituksen tasoon]]*0.5</f>
        <v>340953.99570771912</v>
      </c>
    </row>
    <row r="84" spans="1:21">
      <c r="A84" s="465">
        <v>236</v>
      </c>
      <c r="B84" s="456" t="s">
        <v>89</v>
      </c>
      <c r="C84" s="459">
        <v>4198</v>
      </c>
      <c r="D84" s="459">
        <v>1951</v>
      </c>
      <c r="E84" s="459">
        <v>125</v>
      </c>
      <c r="F84" s="459">
        <v>40815</v>
      </c>
      <c r="G84" s="459">
        <v>8415.1658045844488</v>
      </c>
      <c r="H84" s="459">
        <v>5049.0994827506693</v>
      </c>
      <c r="I84" s="459">
        <v>22468.008495065031</v>
      </c>
      <c r="J84" s="459">
        <v>5636.4468783068778</v>
      </c>
      <c r="K84" s="459">
        <v>5437.4653498369398</v>
      </c>
      <c r="L84" s="459">
        <v>13516.369999999999</v>
      </c>
      <c r="M84" s="459">
        <v>30765.78</v>
      </c>
      <c r="N84" s="459">
        <v>93802.48000000001</v>
      </c>
      <c r="O84" s="473">
        <f>SUM(Taulukko8[[#This Row],[Muiden kuin pakolaisten osuus kotoutumiskoulutuksista,  €]:[Palkkatuki, yksityinen, €]])</f>
        <v>176675.65020595951</v>
      </c>
      <c r="P84" s="459">
        <f>Taulukko8[[#This Row],[Palvelut yhteensä, €]]/Taulukko8[[#This Row],[Työttömät 2022]]</f>
        <v>1413.405201647676</v>
      </c>
      <c r="Q84" s="473">
        <v>130847.30240113492</v>
      </c>
      <c r="R84" s="459">
        <f>Taulukko8[[#This Row],[Toimintamenot, arvio]]/Taulukko8[[#This Row],[Työttömät 2022]]</f>
        <v>1046.7784192090794</v>
      </c>
      <c r="S84" s="473">
        <f>Taulukko8[[#This Row],[Palvelut yhteensä, €]]+Taulukko8[[#This Row],[Toimintamenot, arvio]]</f>
        <v>307522.95260709443</v>
      </c>
      <c r="T84" s="481">
        <f>(Taulukko8[[#This Row],[Palvelut + toimintamenot]]/$S$6)*$T$1</f>
        <v>323156.75790838926</v>
      </c>
      <c r="U84" s="483">
        <f>Taulukko8[[#This Row],[Palvelut + toimintamenot, skaalattu siirtyvän rahoituksen tasoon]]*0.5</f>
        <v>161578.37895419463</v>
      </c>
    </row>
    <row r="85" spans="1:21">
      <c r="A85" s="465">
        <v>239</v>
      </c>
      <c r="B85" s="456" t="s">
        <v>90</v>
      </c>
      <c r="C85" s="459">
        <v>2029</v>
      </c>
      <c r="D85" s="459">
        <v>795</v>
      </c>
      <c r="E85" s="459">
        <v>66</v>
      </c>
      <c r="F85" s="459">
        <v>18987</v>
      </c>
      <c r="G85" s="459">
        <v>4966.1237590041565</v>
      </c>
      <c r="H85" s="459">
        <v>2979.6742554024936</v>
      </c>
      <c r="I85" s="459">
        <v>21542.364394681292</v>
      </c>
      <c r="J85" s="459">
        <v>22459.189206349209</v>
      </c>
      <c r="K85" s="459">
        <v>772.65597983381565</v>
      </c>
      <c r="L85" s="459">
        <v>22021.86</v>
      </c>
      <c r="M85" s="459">
        <v>2942.52</v>
      </c>
      <c r="N85" s="459">
        <v>39271.199999999997</v>
      </c>
      <c r="O85" s="473">
        <f>SUM(Taulukko8[[#This Row],[Muiden kuin pakolaisten osuus kotoutumiskoulutuksista,  €]:[Palkkatuki, yksityinen, €]])</f>
        <v>111989.4638362668</v>
      </c>
      <c r="P85" s="459">
        <f>Taulukko8[[#This Row],[Palvelut yhteensä, €]]/Taulukko8[[#This Row],[Työttömät 2022]]</f>
        <v>1696.8100581252547</v>
      </c>
      <c r="Q85" s="473">
        <v>58779.04653850686</v>
      </c>
      <c r="R85" s="459">
        <f>Taulukko8[[#This Row],[Toimintamenot, arvio]]/Taulukko8[[#This Row],[Työttömät 2022]]</f>
        <v>890.59161421980093</v>
      </c>
      <c r="S85" s="473">
        <f>Taulukko8[[#This Row],[Palvelut yhteensä, €]]+Taulukko8[[#This Row],[Toimintamenot, arvio]]</f>
        <v>170768.51037477367</v>
      </c>
      <c r="T85" s="481">
        <f>(Taulukko8[[#This Row],[Palvelut + toimintamenot]]/$S$6)*$T$1</f>
        <v>179450.01404842749</v>
      </c>
      <c r="U85" s="483">
        <f>Taulukko8[[#This Row],[Palvelut + toimintamenot, skaalattu siirtyvän rahoituksen tasoon]]*0.5</f>
        <v>89725.007024213744</v>
      </c>
    </row>
    <row r="86" spans="1:21">
      <c r="A86" s="465">
        <v>240</v>
      </c>
      <c r="B86" s="456" t="s">
        <v>91</v>
      </c>
      <c r="C86" s="459">
        <v>19499</v>
      </c>
      <c r="D86" s="459">
        <v>8200</v>
      </c>
      <c r="E86" s="459">
        <v>1170</v>
      </c>
      <c r="F86" s="459">
        <v>352215</v>
      </c>
      <c r="G86" s="459">
        <v>356247.92356200959</v>
      </c>
      <c r="H86" s="459">
        <v>213748.75413720575</v>
      </c>
      <c r="I86" s="459">
        <v>724566.55163871974</v>
      </c>
      <c r="J86" s="459">
        <v>255656.69734020621</v>
      </c>
      <c r="K86" s="459">
        <v>59316.165829863181</v>
      </c>
      <c r="L86" s="459">
        <v>430187.33</v>
      </c>
      <c r="M86" s="459">
        <v>106414.68</v>
      </c>
      <c r="N86" s="459">
        <v>817763.90999999992</v>
      </c>
      <c r="O86" s="473">
        <f>SUM(Taulukko8[[#This Row],[Muiden kuin pakolaisten osuus kotoutumiskoulutuksista,  €]:[Palkkatuki, yksityinen, €]])</f>
        <v>2607654.0889459951</v>
      </c>
      <c r="P86" s="459">
        <f>Taulukko8[[#This Row],[Palvelut yhteensä, €]]/Taulukko8[[#This Row],[Työttömät 2022]]</f>
        <v>2228.7641785863207</v>
      </c>
      <c r="Q86" s="473">
        <v>1257798.2048566435</v>
      </c>
      <c r="R86" s="459">
        <f>Taulukko8[[#This Row],[Toimintamenot, arvio]]/Taulukko8[[#This Row],[Työttömät 2022]]</f>
        <v>1075.0412007321738</v>
      </c>
      <c r="S86" s="473">
        <f>Taulukko8[[#This Row],[Palvelut yhteensä, €]]+Taulukko8[[#This Row],[Toimintamenot, arvio]]</f>
        <v>3865452.2938026385</v>
      </c>
      <c r="T86" s="481">
        <f>(Taulukko8[[#This Row],[Palvelut + toimintamenot]]/$S$6)*$T$1</f>
        <v>4061963.5722305747</v>
      </c>
      <c r="U86" s="483">
        <f>Taulukko8[[#This Row],[Palvelut + toimintamenot, skaalattu siirtyvän rahoituksen tasoon]]*0.5</f>
        <v>2030981.7861152873</v>
      </c>
    </row>
    <row r="87" spans="1:21">
      <c r="A87" s="465">
        <v>241</v>
      </c>
      <c r="B87" s="456" t="s">
        <v>92</v>
      </c>
      <c r="C87" s="459">
        <v>7771</v>
      </c>
      <c r="D87" s="459">
        <v>3530</v>
      </c>
      <c r="E87" s="459">
        <v>296</v>
      </c>
      <c r="F87" s="459">
        <v>92283</v>
      </c>
      <c r="G87" s="459">
        <v>87412.423859603427</v>
      </c>
      <c r="H87" s="459">
        <v>52447.454315762057</v>
      </c>
      <c r="I87" s="459">
        <v>177786.63211018135</v>
      </c>
      <c r="J87" s="459">
        <v>49337.257381443305</v>
      </c>
      <c r="K87" s="459">
        <v>15006.482979179062</v>
      </c>
      <c r="L87" s="459">
        <v>202563.88999999998</v>
      </c>
      <c r="M87" s="459">
        <v>57140.5</v>
      </c>
      <c r="N87" s="459">
        <v>149864.12</v>
      </c>
      <c r="O87" s="473">
        <f>SUM(Taulukko8[[#This Row],[Muiden kuin pakolaisten osuus kotoutumiskoulutuksista,  €]:[Palkkatuki, yksityinen, €]])</f>
        <v>704146.33678656572</v>
      </c>
      <c r="P87" s="459">
        <f>Taulukko8[[#This Row],[Palvelut yhteensä, €]]/Taulukko8[[#This Row],[Työttömät 2022]]</f>
        <v>2378.8727594140732</v>
      </c>
      <c r="Q87" s="473">
        <v>329552.66453383758</v>
      </c>
      <c r="R87" s="459">
        <f>Taulukko8[[#This Row],[Toimintamenot, arvio]]/Taulukko8[[#This Row],[Työttömät 2022]]</f>
        <v>1113.3535963980999</v>
      </c>
      <c r="S87" s="473">
        <f>Taulukko8[[#This Row],[Palvelut yhteensä, €]]+Taulukko8[[#This Row],[Toimintamenot, arvio]]</f>
        <v>1033699.0013204033</v>
      </c>
      <c r="T87" s="481">
        <f>(Taulukko8[[#This Row],[Palvelut + toimintamenot]]/$S$6)*$T$1</f>
        <v>1086250.0346328132</v>
      </c>
      <c r="U87" s="483">
        <f>Taulukko8[[#This Row],[Palvelut + toimintamenot, skaalattu siirtyvän rahoituksen tasoon]]*0.5</f>
        <v>543125.01731640659</v>
      </c>
    </row>
    <row r="88" spans="1:21">
      <c r="A88" s="465">
        <v>244</v>
      </c>
      <c r="B88" s="456" t="s">
        <v>93</v>
      </c>
      <c r="C88" s="459">
        <v>19300</v>
      </c>
      <c r="D88" s="459">
        <v>9119</v>
      </c>
      <c r="E88" s="459">
        <v>611</v>
      </c>
      <c r="F88" s="459">
        <v>194061</v>
      </c>
      <c r="G88" s="459">
        <v>86156.107500969374</v>
      </c>
      <c r="H88" s="459">
        <v>51693.664500581624</v>
      </c>
      <c r="I88" s="459">
        <v>237214.60538580845</v>
      </c>
      <c r="J88" s="459">
        <v>6444.7065895953756</v>
      </c>
      <c r="K88" s="459">
        <v>7078.3982596611258</v>
      </c>
      <c r="L88" s="459">
        <v>489677.75</v>
      </c>
      <c r="M88" s="459">
        <v>126081.28</v>
      </c>
      <c r="N88" s="459">
        <v>333627.86</v>
      </c>
      <c r="O88" s="473">
        <f>SUM(Taulukko8[[#This Row],[Muiden kuin pakolaisten osuus kotoutumiskoulutuksista,  €]:[Palkkatuki, yksityinen, €]])</f>
        <v>1251818.2647356465</v>
      </c>
      <c r="P88" s="459">
        <f>Taulukko8[[#This Row],[Palvelut yhteensä, €]]/Taulukko8[[#This Row],[Työttömät 2022]]</f>
        <v>2048.8023972760175</v>
      </c>
      <c r="Q88" s="473">
        <v>550083.0580921775</v>
      </c>
      <c r="R88" s="459">
        <f>Taulukko8[[#This Row],[Toimintamenot, arvio]]/Taulukko8[[#This Row],[Työttömät 2022]]</f>
        <v>900.29960407885028</v>
      </c>
      <c r="S88" s="473">
        <f>Taulukko8[[#This Row],[Palvelut yhteensä, €]]+Taulukko8[[#This Row],[Toimintamenot, arvio]]</f>
        <v>1801901.3228278239</v>
      </c>
      <c r="T88" s="481">
        <f>(Taulukko8[[#This Row],[Palvelut + toimintamenot]]/$S$6)*$T$1</f>
        <v>1893506.1094442811</v>
      </c>
      <c r="U88" s="483">
        <f>Taulukko8[[#This Row],[Palvelut + toimintamenot, skaalattu siirtyvän rahoituksen tasoon]]*0.5</f>
        <v>946753.05472214054</v>
      </c>
    </row>
    <row r="89" spans="1:21">
      <c r="A89" s="465">
        <v>245</v>
      </c>
      <c r="B89" s="456" t="s">
        <v>94</v>
      </c>
      <c r="C89" s="459">
        <v>37676</v>
      </c>
      <c r="D89" s="459">
        <v>18875</v>
      </c>
      <c r="E89" s="459">
        <v>1795</v>
      </c>
      <c r="F89" s="459">
        <v>571709</v>
      </c>
      <c r="G89" s="459">
        <v>357500.12734171643</v>
      </c>
      <c r="H89" s="459">
        <v>214500.07640502986</v>
      </c>
      <c r="I89" s="459">
        <v>188202.39144562863</v>
      </c>
      <c r="J89" s="459">
        <v>275003.62393487641</v>
      </c>
      <c r="K89" s="459">
        <v>47764.940398901716</v>
      </c>
      <c r="L89" s="459">
        <v>739607.38</v>
      </c>
      <c r="M89" s="459">
        <v>212559.58000000002</v>
      </c>
      <c r="N89" s="459">
        <v>478951.16</v>
      </c>
      <c r="O89" s="473">
        <f>SUM(Taulukko8[[#This Row],[Muiden kuin pakolaisten osuus kotoutumiskoulutuksista,  €]:[Palkkatuki, yksityinen, €]])</f>
        <v>2156589.1521844366</v>
      </c>
      <c r="P89" s="459">
        <f>Taulukko8[[#This Row],[Palvelut yhteensä, €]]/Taulukko8[[#This Row],[Työttömät 2022]]</f>
        <v>1201.4424246152851</v>
      </c>
      <c r="Q89" s="473">
        <v>1706994.4535100497</v>
      </c>
      <c r="R89" s="459">
        <f>Taulukko8[[#This Row],[Toimintamenot, arvio]]/Taulukko8[[#This Row],[Työttömät 2022]]</f>
        <v>950.97184039557089</v>
      </c>
      <c r="S89" s="473">
        <f>Taulukko8[[#This Row],[Palvelut yhteensä, €]]+Taulukko8[[#This Row],[Toimintamenot, arvio]]</f>
        <v>3863583.6056944863</v>
      </c>
      <c r="T89" s="481">
        <f>(Taulukko8[[#This Row],[Palvelut + toimintamenot]]/$S$6)*$T$1</f>
        <v>4059999.8840393261</v>
      </c>
      <c r="U89" s="483">
        <f>Taulukko8[[#This Row],[Palvelut + toimintamenot, skaalattu siirtyvän rahoituksen tasoon]]*0.5</f>
        <v>2029999.9420196631</v>
      </c>
    </row>
    <row r="90" spans="1:21">
      <c r="A90" s="465">
        <v>249</v>
      </c>
      <c r="B90" s="456" t="s">
        <v>95</v>
      </c>
      <c r="C90" s="459">
        <v>9250</v>
      </c>
      <c r="D90" s="459">
        <v>3759</v>
      </c>
      <c r="E90" s="459">
        <v>326</v>
      </c>
      <c r="F90" s="459">
        <v>132242</v>
      </c>
      <c r="G90" s="459">
        <v>31516.094147222128</v>
      </c>
      <c r="H90" s="459">
        <v>18909.656488333276</v>
      </c>
      <c r="I90" s="459">
        <v>109239.28508226317</v>
      </c>
      <c r="J90" s="459">
        <v>11663.682312775331</v>
      </c>
      <c r="K90" s="459">
        <v>3940.749545454546</v>
      </c>
      <c r="L90" s="459">
        <v>408728.74</v>
      </c>
      <c r="M90" s="459">
        <v>36022.42</v>
      </c>
      <c r="N90" s="459">
        <v>346754.02</v>
      </c>
      <c r="O90" s="473">
        <f>SUM(Taulukko8[[#This Row],[Muiden kuin pakolaisten osuus kotoutumiskoulutuksista,  €]:[Palkkatuki, yksityinen, €]])</f>
        <v>935258.55342882639</v>
      </c>
      <c r="P90" s="459">
        <f>Taulukko8[[#This Row],[Palvelut yhteensä, €]]/Taulukko8[[#This Row],[Työttömät 2022]]</f>
        <v>2868.8912681865841</v>
      </c>
      <c r="Q90" s="473">
        <v>381717.26248111558</v>
      </c>
      <c r="R90" s="459">
        <f>Taulukko8[[#This Row],[Toimintamenot, arvio]]/Taulukko8[[#This Row],[Työttömät 2022]]</f>
        <v>1170.9118481015817</v>
      </c>
      <c r="S90" s="473">
        <f>Taulukko8[[#This Row],[Palvelut yhteensä, €]]+Taulukko8[[#This Row],[Toimintamenot, arvio]]</f>
        <v>1316975.8159099419</v>
      </c>
      <c r="T90" s="481">
        <f>(Taulukko8[[#This Row],[Palvelut + toimintamenot]]/$S$6)*$T$1</f>
        <v>1383928.03303032</v>
      </c>
      <c r="U90" s="483">
        <f>Taulukko8[[#This Row],[Palvelut + toimintamenot, skaalattu siirtyvän rahoituksen tasoon]]*0.5</f>
        <v>691964.01651515998</v>
      </c>
    </row>
    <row r="91" spans="1:21">
      <c r="A91" s="465">
        <v>250</v>
      </c>
      <c r="B91" s="456" t="s">
        <v>96</v>
      </c>
      <c r="C91" s="459">
        <v>1771</v>
      </c>
      <c r="D91" s="459">
        <v>743</v>
      </c>
      <c r="E91" s="459">
        <v>53</v>
      </c>
      <c r="F91" s="459">
        <v>21701</v>
      </c>
      <c r="G91" s="459">
        <v>0</v>
      </c>
      <c r="H91" s="459">
        <v>0</v>
      </c>
      <c r="I91" s="459">
        <v>0</v>
      </c>
      <c r="J91" s="459">
        <v>0</v>
      </c>
      <c r="K91" s="459">
        <v>465.14619217415776</v>
      </c>
      <c r="L91" s="459">
        <v>3077.39</v>
      </c>
      <c r="M91" s="459">
        <v>20659.579999999998</v>
      </c>
      <c r="N91" s="459">
        <v>28113.299999999996</v>
      </c>
      <c r="O91" s="473">
        <f>SUM(Taulukko8[[#This Row],[Muiden kuin pakolaisten osuus kotoutumiskoulutuksista,  €]:[Palkkatuki, yksityinen, €]])</f>
        <v>52315.416192174147</v>
      </c>
      <c r="P91" s="459">
        <f>Taulukko8[[#This Row],[Palvelut yhteensä, €]]/Taulukko8[[#This Row],[Työttömät 2022]]</f>
        <v>987.08332438064429</v>
      </c>
      <c r="Q91" s="473">
        <v>59508.902735743693</v>
      </c>
      <c r="R91" s="459">
        <f>Taulukko8[[#This Row],[Toimintamenot, arvio]]/Taulukko8[[#This Row],[Työttömät 2022]]</f>
        <v>1122.8094855800696</v>
      </c>
      <c r="S91" s="473">
        <f>Taulukko8[[#This Row],[Palvelut yhteensä, €]]+Taulukko8[[#This Row],[Toimintamenot, arvio]]</f>
        <v>111824.31892791783</v>
      </c>
      <c r="T91" s="481">
        <f>(Taulukko8[[#This Row],[Palvelut + toimintamenot]]/$S$6)*$T$1</f>
        <v>117509.22672178452</v>
      </c>
      <c r="U91" s="483">
        <f>Taulukko8[[#This Row],[Palvelut + toimintamenot, skaalattu siirtyvän rahoituksen tasoon]]*0.5</f>
        <v>58754.613360892261</v>
      </c>
    </row>
    <row r="92" spans="1:21">
      <c r="A92" s="465">
        <v>256</v>
      </c>
      <c r="B92" s="456" t="s">
        <v>97</v>
      </c>
      <c r="C92" s="459">
        <v>1554</v>
      </c>
      <c r="D92" s="459">
        <v>580</v>
      </c>
      <c r="E92" s="459">
        <v>63</v>
      </c>
      <c r="F92" s="459">
        <v>22121</v>
      </c>
      <c r="G92" s="459">
        <v>3099.5558057703438</v>
      </c>
      <c r="H92" s="459">
        <v>1859.7334834622061</v>
      </c>
      <c r="I92" s="459">
        <v>10743.50326259495</v>
      </c>
      <c r="J92" s="459">
        <v>0</v>
      </c>
      <c r="K92" s="459">
        <v>761.55589375348575</v>
      </c>
      <c r="L92" s="459">
        <v>48226.350000000006</v>
      </c>
      <c r="M92" s="459">
        <v>5989.98</v>
      </c>
      <c r="N92" s="459">
        <v>208580.23</v>
      </c>
      <c r="O92" s="473">
        <f>SUM(Taulukko8[[#This Row],[Muiden kuin pakolaisten osuus kotoutumiskoulutuksista,  €]:[Palkkatuki, yksityinen, €]])</f>
        <v>276161.35263981065</v>
      </c>
      <c r="P92" s="459">
        <f>Taulukko8[[#This Row],[Palvelut yhteensä, €]]/Taulukko8[[#This Row],[Työttömät 2022]]</f>
        <v>4383.5135339652488</v>
      </c>
      <c r="Q92" s="473">
        <v>63852.388525164148</v>
      </c>
      <c r="R92" s="459">
        <f>Taulukko8[[#This Row],[Toimintamenot, arvio]]/Taulukko8[[#This Row],[Työttömät 2022]]</f>
        <v>1013.5299765899071</v>
      </c>
      <c r="S92" s="473">
        <f>Taulukko8[[#This Row],[Palvelut yhteensä, €]]+Taulukko8[[#This Row],[Toimintamenot, arvio]]</f>
        <v>340013.74116497481</v>
      </c>
      <c r="T92" s="481">
        <f>(Taulukko8[[#This Row],[Palvelut + toimintamenot]]/$S$6)*$T$1</f>
        <v>357299.30825540808</v>
      </c>
      <c r="U92" s="483">
        <f>Taulukko8[[#This Row],[Palvelut + toimintamenot, skaalattu siirtyvän rahoituksen tasoon]]*0.5</f>
        <v>178649.65412770404</v>
      </c>
    </row>
    <row r="93" spans="1:21">
      <c r="A93" s="465">
        <v>257</v>
      </c>
      <c r="B93" s="456" t="s">
        <v>98</v>
      </c>
      <c r="C93" s="459">
        <v>40722</v>
      </c>
      <c r="D93" s="459">
        <v>20712</v>
      </c>
      <c r="E93" s="459">
        <v>1372</v>
      </c>
      <c r="F93" s="459">
        <v>433524</v>
      </c>
      <c r="G93" s="459">
        <v>501081.90925484663</v>
      </c>
      <c r="H93" s="459">
        <v>300649.14555290795</v>
      </c>
      <c r="I93" s="459">
        <v>263789.59451883601</v>
      </c>
      <c r="J93" s="459">
        <v>123875.50627697138</v>
      </c>
      <c r="K93" s="459">
        <v>36508.91266144465</v>
      </c>
      <c r="L93" s="459">
        <v>942032.15</v>
      </c>
      <c r="M93" s="459">
        <v>236983.22000000003</v>
      </c>
      <c r="N93" s="459">
        <v>430612.03</v>
      </c>
      <c r="O93" s="473">
        <f>SUM(Taulukko8[[#This Row],[Muiden kuin pakolaisten osuus kotoutumiskoulutuksista,  €]:[Palkkatuki, yksityinen, €]])</f>
        <v>2334450.5590101602</v>
      </c>
      <c r="P93" s="459">
        <f>Taulukko8[[#This Row],[Palvelut yhteensä, €]]/Taulukko8[[#This Row],[Työttömät 2022]]</f>
        <v>1701.4945765380176</v>
      </c>
      <c r="Q93" s="473">
        <v>1294405.1317427063</v>
      </c>
      <c r="R93" s="459">
        <f>Taulukko8[[#This Row],[Toimintamenot, arvio]]/Taulukko8[[#This Row],[Työttömät 2022]]</f>
        <v>943.44397357340108</v>
      </c>
      <c r="S93" s="473">
        <f>Taulukko8[[#This Row],[Palvelut yhteensä, €]]+Taulukko8[[#This Row],[Toimintamenot, arvio]]</f>
        <v>3628855.6907528667</v>
      </c>
      <c r="T93" s="481">
        <f>(Taulukko8[[#This Row],[Palvelut + toimintamenot]]/$S$6)*$T$1</f>
        <v>3813338.9068990466</v>
      </c>
      <c r="U93" s="483">
        <f>Taulukko8[[#This Row],[Palvelut + toimintamenot, skaalattu siirtyvän rahoituksen tasoon]]*0.5</f>
        <v>1906669.4534495233</v>
      </c>
    </row>
    <row r="94" spans="1:21">
      <c r="A94" s="465">
        <v>260</v>
      </c>
      <c r="B94" s="456" t="s">
        <v>99</v>
      </c>
      <c r="C94" s="459">
        <v>9727</v>
      </c>
      <c r="D94" s="459">
        <v>3751</v>
      </c>
      <c r="E94" s="459">
        <v>526</v>
      </c>
      <c r="F94" s="459">
        <v>176959</v>
      </c>
      <c r="G94" s="459">
        <v>39388.593095514669</v>
      </c>
      <c r="H94" s="459">
        <v>23633.1558573088</v>
      </c>
      <c r="I94" s="459">
        <v>71903.438878105444</v>
      </c>
      <c r="J94" s="459">
        <v>6263.4461855670106</v>
      </c>
      <c r="K94" s="459">
        <v>4321.779305189094</v>
      </c>
      <c r="L94" s="459">
        <v>423902.35000000003</v>
      </c>
      <c r="M94" s="459">
        <v>43403.020000000004</v>
      </c>
      <c r="N94" s="459">
        <v>659307.9</v>
      </c>
      <c r="O94" s="473">
        <f>SUM(Taulukko8[[#This Row],[Muiden kuin pakolaisten osuus kotoutumiskoulutuksista,  €]:[Palkkatuki, yksityinen, €]])</f>
        <v>1232735.0902261704</v>
      </c>
      <c r="P94" s="459">
        <f>Taulukko8[[#This Row],[Palvelut yhteensä, €]]/Taulukko8[[#This Row],[Työttömät 2022]]</f>
        <v>2343.6028331296015</v>
      </c>
      <c r="Q94" s="473">
        <v>468257.04198583262</v>
      </c>
      <c r="R94" s="459">
        <f>Taulukko8[[#This Row],[Toimintamenot, arvio]]/Taulukko8[[#This Row],[Työttömät 2022]]</f>
        <v>890.22251328105062</v>
      </c>
      <c r="S94" s="473">
        <f>Taulukko8[[#This Row],[Palvelut yhteensä, €]]+Taulukko8[[#This Row],[Toimintamenot, arvio]]</f>
        <v>1700992.132212003</v>
      </c>
      <c r="T94" s="481">
        <f>(Taulukko8[[#This Row],[Palvelut + toimintamenot]]/$S$6)*$T$1</f>
        <v>1787466.9126750184</v>
      </c>
      <c r="U94" s="483">
        <f>Taulukko8[[#This Row],[Palvelut + toimintamenot, skaalattu siirtyvän rahoituksen tasoon]]*0.5</f>
        <v>893733.45633750921</v>
      </c>
    </row>
    <row r="95" spans="1:21">
      <c r="A95" s="465">
        <v>261</v>
      </c>
      <c r="B95" s="456" t="s">
        <v>100</v>
      </c>
      <c r="C95" s="459">
        <v>6637</v>
      </c>
      <c r="D95" s="459">
        <v>3461</v>
      </c>
      <c r="E95" s="459">
        <v>328</v>
      </c>
      <c r="F95" s="459">
        <v>97238</v>
      </c>
      <c r="G95" s="459">
        <v>27859.185410738126</v>
      </c>
      <c r="H95" s="459">
        <v>16715.511246442875</v>
      </c>
      <c r="I95" s="459">
        <v>56662.320169309416</v>
      </c>
      <c r="J95" s="459">
        <v>67278.078247422687</v>
      </c>
      <c r="K95" s="459">
        <v>16628.805463414636</v>
      </c>
      <c r="L95" s="459">
        <v>417382.1</v>
      </c>
      <c r="M95" s="459">
        <v>193906.08000000002</v>
      </c>
      <c r="N95" s="459">
        <v>99074.73000000001</v>
      </c>
      <c r="O95" s="473">
        <f>SUM(Taulukko8[[#This Row],[Muiden kuin pakolaisten osuus kotoutumiskoulutuksista,  €]:[Palkkatuki, yksityinen, €]])</f>
        <v>867647.62512658956</v>
      </c>
      <c r="P95" s="459">
        <f>Taulukko8[[#This Row],[Palvelut yhteensä, €]]/Taulukko8[[#This Row],[Työttömät 2022]]</f>
        <v>2645.2671497761876</v>
      </c>
      <c r="Q95" s="473">
        <v>347247.51031003869</v>
      </c>
      <c r="R95" s="459">
        <f>Taulukko8[[#This Row],[Toimintamenot, arvio]]/Taulukko8[[#This Row],[Työttömät 2022]]</f>
        <v>1058.6814338720692</v>
      </c>
      <c r="S95" s="473">
        <f>Taulukko8[[#This Row],[Palvelut yhteensä, €]]+Taulukko8[[#This Row],[Toimintamenot, arvio]]</f>
        <v>1214895.1354366282</v>
      </c>
      <c r="T95" s="481">
        <f>(Taulukko8[[#This Row],[Palvelut + toimintamenot]]/$S$6)*$T$1</f>
        <v>1276657.7903795694</v>
      </c>
      <c r="U95" s="483">
        <f>Taulukko8[[#This Row],[Palvelut + toimintamenot, skaalattu siirtyvän rahoituksen tasoon]]*0.5</f>
        <v>638328.8951897847</v>
      </c>
    </row>
    <row r="96" spans="1:21">
      <c r="A96" s="465">
        <v>263</v>
      </c>
      <c r="B96" s="456" t="s">
        <v>101</v>
      </c>
      <c r="C96" s="459">
        <v>7597</v>
      </c>
      <c r="D96" s="459">
        <v>3173</v>
      </c>
      <c r="E96" s="459">
        <v>334</v>
      </c>
      <c r="F96" s="459">
        <v>100304</v>
      </c>
      <c r="G96" s="459">
        <v>29850.43037844661</v>
      </c>
      <c r="H96" s="459">
        <v>17910.258227067967</v>
      </c>
      <c r="I96" s="459">
        <v>129487.0767939762</v>
      </c>
      <c r="J96" s="459">
        <v>37431.982010582011</v>
      </c>
      <c r="K96" s="459">
        <v>3910.1075343105217</v>
      </c>
      <c r="L96" s="459">
        <v>91771.7</v>
      </c>
      <c r="M96" s="459">
        <v>24701.18</v>
      </c>
      <c r="N96" s="459">
        <v>287439.83</v>
      </c>
      <c r="O96" s="473">
        <f>SUM(Taulukko8[[#This Row],[Muiden kuin pakolaisten osuus kotoutumiskoulutuksista,  €]:[Palkkatuki, yksityinen, €]])</f>
        <v>592652.13456593663</v>
      </c>
      <c r="P96" s="459">
        <f>Taulukko8[[#This Row],[Palvelut yhteensä, €]]/Taulukko8[[#This Row],[Työttömät 2022]]</f>
        <v>1774.4075885207683</v>
      </c>
      <c r="Q96" s="473">
        <v>310516.32611778547</v>
      </c>
      <c r="R96" s="459">
        <f>Taulukko8[[#This Row],[Toimintamenot, arvio]]/Taulukko8[[#This Row],[Työttömät 2022]]</f>
        <v>929.68959915504638</v>
      </c>
      <c r="S96" s="473">
        <f>Taulukko8[[#This Row],[Palvelut yhteensä, €]]+Taulukko8[[#This Row],[Toimintamenot, arvio]]</f>
        <v>903168.46068372205</v>
      </c>
      <c r="T96" s="481">
        <f>(Taulukko8[[#This Row],[Palvelut + toimintamenot]]/$S$6)*$T$1</f>
        <v>949083.60213542299</v>
      </c>
      <c r="U96" s="483">
        <f>Taulukko8[[#This Row],[Palvelut + toimintamenot, skaalattu siirtyvän rahoituksen tasoon]]*0.5</f>
        <v>474541.80106771149</v>
      </c>
    </row>
    <row r="97" spans="1:21">
      <c r="A97" s="465">
        <v>265</v>
      </c>
      <c r="B97" s="456" t="s">
        <v>102</v>
      </c>
      <c r="C97" s="459">
        <v>1064</v>
      </c>
      <c r="D97" s="459">
        <v>407</v>
      </c>
      <c r="E97" s="459">
        <v>54</v>
      </c>
      <c r="F97" s="459">
        <v>15924</v>
      </c>
      <c r="G97" s="459">
        <v>0</v>
      </c>
      <c r="H97" s="459">
        <v>0</v>
      </c>
      <c r="I97" s="459">
        <v>0</v>
      </c>
      <c r="J97" s="459">
        <v>3332.4806607929518</v>
      </c>
      <c r="K97" s="459">
        <v>652.76219464584494</v>
      </c>
      <c r="L97" s="459">
        <v>11090.3</v>
      </c>
      <c r="M97" s="459">
        <v>8090.42</v>
      </c>
      <c r="N97" s="459">
        <v>14034.58</v>
      </c>
      <c r="O97" s="473">
        <f>SUM(Taulukko8[[#This Row],[Muiden kuin pakolaisten osuus kotoutumiskoulutuksista,  €]:[Palkkatuki, yksityinen, €]])</f>
        <v>37200.542855438798</v>
      </c>
      <c r="P97" s="459">
        <f>Taulukko8[[#This Row],[Palvelut yhteensä, €]]/Taulukko8[[#This Row],[Työttömät 2022]]</f>
        <v>688.89894176738517</v>
      </c>
      <c r="Q97" s="473">
        <v>45964.713840907454</v>
      </c>
      <c r="R97" s="459">
        <f>Taulukko8[[#This Row],[Toimintamenot, arvio]]/Taulukko8[[#This Row],[Työttömät 2022]]</f>
        <v>851.1984044612492</v>
      </c>
      <c r="S97" s="473">
        <f>Taulukko8[[#This Row],[Palvelut yhteensä, €]]+Taulukko8[[#This Row],[Toimintamenot, arvio]]</f>
        <v>83165.256696346245</v>
      </c>
      <c r="T97" s="481">
        <f>(Taulukko8[[#This Row],[Palvelut + toimintamenot]]/$S$6)*$T$1</f>
        <v>87393.199423873535</v>
      </c>
      <c r="U97" s="483">
        <f>Taulukko8[[#This Row],[Palvelut + toimintamenot, skaalattu siirtyvän rahoituksen tasoon]]*0.5</f>
        <v>43696.599711936768</v>
      </c>
    </row>
    <row r="98" spans="1:21">
      <c r="A98" s="465">
        <v>271</v>
      </c>
      <c r="B98" s="456" t="s">
        <v>103</v>
      </c>
      <c r="C98" s="459">
        <v>6903</v>
      </c>
      <c r="D98" s="459">
        <v>2971</v>
      </c>
      <c r="E98" s="459">
        <v>243</v>
      </c>
      <c r="F98" s="459">
        <v>98381</v>
      </c>
      <c r="G98" s="459">
        <v>29876.065220378452</v>
      </c>
      <c r="H98" s="459">
        <v>17925.639132227072</v>
      </c>
      <c r="I98" s="459">
        <v>71681.747470160117</v>
      </c>
      <c r="J98" s="459">
        <v>4499.3450931677016</v>
      </c>
      <c r="K98" s="459">
        <v>6772.359735692944</v>
      </c>
      <c r="L98" s="459">
        <v>33075</v>
      </c>
      <c r="M98" s="459">
        <v>20298.68</v>
      </c>
      <c r="N98" s="459">
        <v>88171.989999999991</v>
      </c>
      <c r="O98" s="473">
        <f>SUM(Taulukko8[[#This Row],[Muiden kuin pakolaisten osuus kotoutumiskoulutuksista,  €]:[Palkkatuki, yksityinen, €]])</f>
        <v>242424.76143124781</v>
      </c>
      <c r="P98" s="459">
        <f>Taulukko8[[#This Row],[Palvelut yhteensä, €]]/Taulukko8[[#This Row],[Työttömät 2022]]</f>
        <v>997.63276309155481</v>
      </c>
      <c r="Q98" s="473">
        <v>328903.8853234892</v>
      </c>
      <c r="R98" s="459">
        <f>Taulukko8[[#This Row],[Toimintamenot, arvio]]/Taulukko8[[#This Row],[Työttömät 2022]]</f>
        <v>1353.5139313723835</v>
      </c>
      <c r="S98" s="473">
        <f>Taulukko8[[#This Row],[Palvelut yhteensä, €]]+Taulukko8[[#This Row],[Toimintamenot, arvio]]</f>
        <v>571328.64675473701</v>
      </c>
      <c r="T98" s="481">
        <f>(Taulukko8[[#This Row],[Palvelut + toimintamenot]]/$S$6)*$T$1</f>
        <v>600373.76599117916</v>
      </c>
      <c r="U98" s="483">
        <f>Taulukko8[[#This Row],[Palvelut + toimintamenot, skaalattu siirtyvän rahoituksen tasoon]]*0.5</f>
        <v>300186.88299558958</v>
      </c>
    </row>
    <row r="99" spans="1:21">
      <c r="A99" s="465">
        <v>272</v>
      </c>
      <c r="B99" s="456" t="s">
        <v>104</v>
      </c>
      <c r="C99" s="459">
        <v>48006</v>
      </c>
      <c r="D99" s="459">
        <v>21832</v>
      </c>
      <c r="E99" s="459">
        <v>1732</v>
      </c>
      <c r="F99" s="459">
        <v>593125</v>
      </c>
      <c r="G99" s="459">
        <v>412695.22341227747</v>
      </c>
      <c r="H99" s="459">
        <v>247617.13404736647</v>
      </c>
      <c r="I99" s="459">
        <v>1101872.5002956369</v>
      </c>
      <c r="J99" s="459">
        <v>490370.8784126984</v>
      </c>
      <c r="K99" s="459">
        <v>75341.519887340648</v>
      </c>
      <c r="L99" s="459">
        <v>261313.91</v>
      </c>
      <c r="M99" s="459">
        <v>265794.76</v>
      </c>
      <c r="N99" s="459">
        <v>1103369.69</v>
      </c>
      <c r="O99" s="473">
        <f>SUM(Taulukko8[[#This Row],[Muiden kuin pakolaisten osuus kotoutumiskoulutuksista,  €]:[Palkkatuki, yksityinen, €]])</f>
        <v>3545680.3926430424</v>
      </c>
      <c r="P99" s="459">
        <f>Taulukko8[[#This Row],[Palvelut yhteensä, €]]/Taulukko8[[#This Row],[Työttömät 2022]]</f>
        <v>2047.1595800479458</v>
      </c>
      <c r="Q99" s="473">
        <v>1901477.5508188938</v>
      </c>
      <c r="R99" s="459">
        <f>Taulukko8[[#This Row],[Toimintamenot, arvio]]/Taulukko8[[#This Row],[Työttömät 2022]]</f>
        <v>1097.85077991853</v>
      </c>
      <c r="S99" s="473">
        <f>Taulukko8[[#This Row],[Palvelut yhteensä, €]]+Taulukko8[[#This Row],[Toimintamenot, arvio]]</f>
        <v>5447157.943461936</v>
      </c>
      <c r="T99" s="481">
        <f>(Taulukko8[[#This Row],[Palvelut + toimintamenot]]/$S$6)*$T$1</f>
        <v>5724079.7342145424</v>
      </c>
      <c r="U99" s="483">
        <f>Taulukko8[[#This Row],[Palvelut + toimintamenot, skaalattu siirtyvän rahoituksen tasoon]]*0.5</f>
        <v>2862039.8671072712</v>
      </c>
    </row>
    <row r="100" spans="1:21">
      <c r="A100" s="465">
        <v>273</v>
      </c>
      <c r="B100" s="456" t="s">
        <v>105</v>
      </c>
      <c r="C100" s="459">
        <v>3999</v>
      </c>
      <c r="D100" s="459">
        <v>1894</v>
      </c>
      <c r="E100" s="459">
        <v>196</v>
      </c>
      <c r="F100" s="459">
        <v>47301</v>
      </c>
      <c r="G100" s="459">
        <v>26956.863616058345</v>
      </c>
      <c r="H100" s="459">
        <v>16174.118169635007</v>
      </c>
      <c r="I100" s="459">
        <v>54827.103321720439</v>
      </c>
      <c r="J100" s="459">
        <v>53822.462597938145</v>
      </c>
      <c r="K100" s="459">
        <v>9936.7252159428917</v>
      </c>
      <c r="L100" s="459">
        <v>163874.88</v>
      </c>
      <c r="M100" s="459">
        <v>96888.66</v>
      </c>
      <c r="N100" s="459">
        <v>67810.819999999992</v>
      </c>
      <c r="O100" s="473">
        <f>SUM(Taulukko8[[#This Row],[Muiden kuin pakolaisten osuus kotoutumiskoulutuksista,  €]:[Palkkatuki, yksityinen, €]])</f>
        <v>463334.76930523646</v>
      </c>
      <c r="P100" s="459">
        <f>Taulukko8[[#This Row],[Palvelut yhteensä, €]]/Taulukko8[[#This Row],[Työttömät 2022]]</f>
        <v>2363.9529046185535</v>
      </c>
      <c r="Q100" s="473">
        <v>168917.03331182399</v>
      </c>
      <c r="R100" s="459">
        <f>Taulukko8[[#This Row],[Toimintamenot, arvio]]/Taulukko8[[#This Row],[Työttömät 2022]]</f>
        <v>861.82159852971427</v>
      </c>
      <c r="S100" s="473">
        <f>Taulukko8[[#This Row],[Palvelut yhteensä, €]]+Taulukko8[[#This Row],[Toimintamenot, arvio]]</f>
        <v>632251.80261706049</v>
      </c>
      <c r="T100" s="481">
        <f>(Taulukko8[[#This Row],[Palvelut + toimintamenot]]/$S$6)*$T$1</f>
        <v>664394.12402659992</v>
      </c>
      <c r="U100" s="483">
        <f>Taulukko8[[#This Row],[Palvelut + toimintamenot, skaalattu siirtyvän rahoituksen tasoon]]*0.5</f>
        <v>332197.06201329996</v>
      </c>
    </row>
    <row r="101" spans="1:21">
      <c r="A101" s="465">
        <v>275</v>
      </c>
      <c r="B101" s="456" t="s">
        <v>106</v>
      </c>
      <c r="C101" s="459">
        <v>2521</v>
      </c>
      <c r="D101" s="459">
        <v>1088</v>
      </c>
      <c r="E101" s="459">
        <v>109</v>
      </c>
      <c r="F101" s="459">
        <v>37602</v>
      </c>
      <c r="G101" s="459">
        <v>8233.9345069319061</v>
      </c>
      <c r="H101" s="459">
        <v>4940.3607041591431</v>
      </c>
      <c r="I101" s="459">
        <v>28539.993399870556</v>
      </c>
      <c r="J101" s="459">
        <v>4998.720991189427</v>
      </c>
      <c r="K101" s="459">
        <v>1317.612578081428</v>
      </c>
      <c r="L101" s="459">
        <v>90860.860000000015</v>
      </c>
      <c r="M101" s="459">
        <v>18122.34</v>
      </c>
      <c r="N101" s="459">
        <v>52596.84</v>
      </c>
      <c r="O101" s="473">
        <f>SUM(Taulukko8[[#This Row],[Muiden kuin pakolaisten osuus kotoutumiskoulutuksista,  €]:[Palkkatuki, yksityinen, €]])</f>
        <v>201376.72767330057</v>
      </c>
      <c r="P101" s="459">
        <f>Taulukko8[[#This Row],[Palvelut yhteensä, €]]/Taulukko8[[#This Row],[Työttömät 2022]]</f>
        <v>1847.4929144339501</v>
      </c>
      <c r="Q101" s="473">
        <v>108538.38042236891</v>
      </c>
      <c r="R101" s="459">
        <f>Taulukko8[[#This Row],[Toimintamenot, arvio]]/Taulukko8[[#This Row],[Työttömät 2022]]</f>
        <v>995.76495800338444</v>
      </c>
      <c r="S101" s="473">
        <f>Taulukko8[[#This Row],[Palvelut yhteensä, €]]+Taulukko8[[#This Row],[Toimintamenot, arvio]]</f>
        <v>309915.10809566948</v>
      </c>
      <c r="T101" s="481">
        <f>(Taulukko8[[#This Row],[Palvelut + toimintamenot]]/$S$6)*$T$1</f>
        <v>325670.52543548611</v>
      </c>
      <c r="U101" s="483">
        <f>Taulukko8[[#This Row],[Palvelut + toimintamenot, skaalattu siirtyvän rahoituksen tasoon]]*0.5</f>
        <v>162835.26271774305</v>
      </c>
    </row>
    <row r="102" spans="1:21">
      <c r="A102" s="465">
        <v>276</v>
      </c>
      <c r="B102" s="456" t="s">
        <v>107</v>
      </c>
      <c r="C102" s="459">
        <v>15157</v>
      </c>
      <c r="D102" s="459">
        <v>7339</v>
      </c>
      <c r="E102" s="459">
        <v>646</v>
      </c>
      <c r="F102" s="459">
        <v>209241</v>
      </c>
      <c r="G102" s="459">
        <v>113253.90010004872</v>
      </c>
      <c r="H102" s="459">
        <v>67952.340060029223</v>
      </c>
      <c r="I102" s="459">
        <v>206743.73577659533</v>
      </c>
      <c r="J102" s="459">
        <v>25053.784742268042</v>
      </c>
      <c r="K102" s="459">
        <v>5307.7365611257692</v>
      </c>
      <c r="L102" s="459">
        <v>280205.75</v>
      </c>
      <c r="M102" s="459">
        <v>91451.88</v>
      </c>
      <c r="N102" s="459">
        <v>559989.11</v>
      </c>
      <c r="O102" s="473">
        <f>SUM(Taulukko8[[#This Row],[Muiden kuin pakolaisten osuus kotoutumiskoulutuksista,  €]:[Palkkatuki, yksityinen, €]])</f>
        <v>1236704.3371400184</v>
      </c>
      <c r="P102" s="459">
        <f>Taulukko8[[#This Row],[Palvelut yhteensä, €]]/Taulukko8[[#This Row],[Työttömät 2022]]</f>
        <v>1914.402998668759</v>
      </c>
      <c r="Q102" s="473">
        <v>553679.50611247576</v>
      </c>
      <c r="R102" s="459">
        <f>Taulukko8[[#This Row],[Toimintamenot, arvio]]/Taulukko8[[#This Row],[Työttömät 2022]]</f>
        <v>857.08901874996252</v>
      </c>
      <c r="S102" s="473">
        <f>Taulukko8[[#This Row],[Palvelut yhteensä, €]]+Taulukko8[[#This Row],[Toimintamenot, arvio]]</f>
        <v>1790383.843252494</v>
      </c>
      <c r="T102" s="481">
        <f>(Taulukko8[[#This Row],[Palvelut + toimintamenot]]/$S$6)*$T$1</f>
        <v>1881403.1059862108</v>
      </c>
      <c r="U102" s="483">
        <f>Taulukko8[[#This Row],[Palvelut + toimintamenot, skaalattu siirtyvän rahoituksen tasoon]]*0.5</f>
        <v>940701.55299310538</v>
      </c>
    </row>
    <row r="103" spans="1:21">
      <c r="A103" s="465">
        <v>280</v>
      </c>
      <c r="B103" s="456" t="s">
        <v>108</v>
      </c>
      <c r="C103" s="459">
        <v>2024</v>
      </c>
      <c r="D103" s="459">
        <v>960</v>
      </c>
      <c r="E103" s="459">
        <v>52</v>
      </c>
      <c r="F103" s="459">
        <v>20526</v>
      </c>
      <c r="G103" s="459">
        <v>7605.3381330135589</v>
      </c>
      <c r="H103" s="459">
        <v>4563.2028798081355</v>
      </c>
      <c r="I103" s="459">
        <v>20305.815208929063</v>
      </c>
      <c r="J103" s="459">
        <v>8454.6703174603172</v>
      </c>
      <c r="K103" s="459">
        <v>2261.9855855321675</v>
      </c>
      <c r="L103" s="459">
        <v>6828.8099999999995</v>
      </c>
      <c r="M103" s="459">
        <v>38961.82</v>
      </c>
      <c r="N103" s="459">
        <v>5490.8200000000006</v>
      </c>
      <c r="O103" s="473">
        <f>SUM(Taulukko8[[#This Row],[Muiden kuin pakolaisten osuus kotoutumiskoulutuksista,  €]:[Palkkatuki, yksityinen, €]])</f>
        <v>86867.123991729692</v>
      </c>
      <c r="P103" s="459">
        <f>Taulukko8[[#This Row],[Palvelut yhteensä, €]]/Taulukko8[[#This Row],[Työttömät 2022]]</f>
        <v>1670.5216152255709</v>
      </c>
      <c r="Q103" s="473">
        <v>65803.545977843823</v>
      </c>
      <c r="R103" s="459">
        <f>Taulukko8[[#This Row],[Toimintamenot, arvio]]/Taulukko8[[#This Row],[Työttömät 2022]]</f>
        <v>1265.4528072662274</v>
      </c>
      <c r="S103" s="473">
        <f>Taulukko8[[#This Row],[Palvelut yhteensä, €]]+Taulukko8[[#This Row],[Toimintamenot, arvio]]</f>
        <v>152670.6699695735</v>
      </c>
      <c r="T103" s="481">
        <f>(Taulukko8[[#This Row],[Palvelut + toimintamenot]]/$S$6)*$T$1</f>
        <v>160432.11837297794</v>
      </c>
      <c r="U103" s="483">
        <f>Taulukko8[[#This Row],[Palvelut + toimintamenot, skaalattu siirtyvän rahoituksen tasoon]]*0.5</f>
        <v>80216.059186488972</v>
      </c>
    </row>
    <row r="104" spans="1:21">
      <c r="A104" s="465">
        <v>284</v>
      </c>
      <c r="B104" s="456" t="s">
        <v>109</v>
      </c>
      <c r="C104" s="459">
        <v>2227</v>
      </c>
      <c r="D104" s="459">
        <v>966</v>
      </c>
      <c r="E104" s="459">
        <v>62</v>
      </c>
      <c r="F104" s="459">
        <v>21229</v>
      </c>
      <c r="G104" s="459">
        <v>795.25197681357088</v>
      </c>
      <c r="H104" s="459">
        <v>477.15118608814248</v>
      </c>
      <c r="I104" s="459">
        <v>508.77452902565852</v>
      </c>
      <c r="J104" s="459">
        <v>1897.0382885572137</v>
      </c>
      <c r="K104" s="459">
        <v>583.07120708748619</v>
      </c>
      <c r="L104" s="459">
        <v>44680.31</v>
      </c>
      <c r="M104" s="459">
        <v>21409.8</v>
      </c>
      <c r="N104" s="459">
        <v>8505.93</v>
      </c>
      <c r="O104" s="473">
        <f>SUM(Taulukko8[[#This Row],[Muiden kuin pakolaisten osuus kotoutumiskoulutuksista,  €]:[Palkkatuki, yksityinen, €]])</f>
        <v>78062.075210758485</v>
      </c>
      <c r="P104" s="459">
        <f>Taulukko8[[#This Row],[Palvelut yhteensä, €]]/Taulukko8[[#This Row],[Työttömät 2022]]</f>
        <v>1259.065729205782</v>
      </c>
      <c r="Q104" s="473">
        <v>59586.094834843061</v>
      </c>
      <c r="R104" s="459">
        <f>Taulukko8[[#This Row],[Toimintamenot, arvio]]/Taulukko8[[#This Row],[Työttömät 2022]]</f>
        <v>961.06604572327512</v>
      </c>
      <c r="S104" s="473">
        <f>Taulukko8[[#This Row],[Palvelut yhteensä, €]]+Taulukko8[[#This Row],[Toimintamenot, arvio]]</f>
        <v>137648.17004560155</v>
      </c>
      <c r="T104" s="481">
        <f>(Taulukko8[[#This Row],[Palvelut + toimintamenot]]/$S$6)*$T$1</f>
        <v>144645.90687249103</v>
      </c>
      <c r="U104" s="483">
        <f>Taulukko8[[#This Row],[Palvelut + toimintamenot, skaalattu siirtyvän rahoituksen tasoon]]*0.5</f>
        <v>72322.953436245516</v>
      </c>
    </row>
    <row r="105" spans="1:21">
      <c r="A105" s="465">
        <v>285</v>
      </c>
      <c r="B105" s="456" t="s">
        <v>110</v>
      </c>
      <c r="C105" s="459">
        <v>50617</v>
      </c>
      <c r="D105" s="459">
        <v>22543</v>
      </c>
      <c r="E105" s="459">
        <v>2915</v>
      </c>
      <c r="F105" s="459">
        <v>954972</v>
      </c>
      <c r="G105" s="459">
        <v>525036.49171106378</v>
      </c>
      <c r="H105" s="459">
        <v>315021.89502663823</v>
      </c>
      <c r="I105" s="459">
        <v>678911.51005465735</v>
      </c>
      <c r="J105" s="459">
        <v>277323.14386792452</v>
      </c>
      <c r="K105" s="459">
        <v>29043.9309046136</v>
      </c>
      <c r="L105" s="459">
        <v>1557351.67</v>
      </c>
      <c r="M105" s="459">
        <v>337011.12</v>
      </c>
      <c r="N105" s="459">
        <v>2296657.15</v>
      </c>
      <c r="O105" s="473">
        <f>SUM(Taulukko8[[#This Row],[Muiden kuin pakolaisten osuus kotoutumiskoulutuksista,  €]:[Palkkatuki, yksityinen, €]])</f>
        <v>5491320.4198538344</v>
      </c>
      <c r="P105" s="459">
        <f>Taulukko8[[#This Row],[Palvelut yhteensä, €]]/Taulukko8[[#This Row],[Työttömät 2022]]</f>
        <v>1883.8148953186396</v>
      </c>
      <c r="Q105" s="473">
        <v>3048748.8633501618</v>
      </c>
      <c r="R105" s="459">
        <f>Taulukko8[[#This Row],[Toimintamenot, arvio]]/Taulukko8[[#This Row],[Työttömät 2022]]</f>
        <v>1045.882971989764</v>
      </c>
      <c r="S105" s="473">
        <f>Taulukko8[[#This Row],[Palvelut yhteensä, €]]+Taulukko8[[#This Row],[Toimintamenot, arvio]]</f>
        <v>8540069.2832039967</v>
      </c>
      <c r="T105" s="481">
        <f>(Taulukko8[[#This Row],[Palvelut + toimintamenot]]/$S$6)*$T$1</f>
        <v>8974228.0323356856</v>
      </c>
      <c r="U105" s="483">
        <f>Taulukko8[[#This Row],[Palvelut + toimintamenot, skaalattu siirtyvän rahoituksen tasoon]]*0.5</f>
        <v>4487114.0161678428</v>
      </c>
    </row>
    <row r="106" spans="1:21">
      <c r="A106" s="465">
        <v>286</v>
      </c>
      <c r="B106" s="456" t="s">
        <v>111</v>
      </c>
      <c r="C106" s="459">
        <v>79429</v>
      </c>
      <c r="D106" s="459">
        <v>35611</v>
      </c>
      <c r="E106" s="459">
        <v>3648</v>
      </c>
      <c r="F106" s="459">
        <v>1220368</v>
      </c>
      <c r="G106" s="459">
        <v>544984.76304892311</v>
      </c>
      <c r="H106" s="459">
        <v>326990.85782935383</v>
      </c>
      <c r="I106" s="459">
        <v>704706.11905950936</v>
      </c>
      <c r="J106" s="459">
        <v>488088.73320754716</v>
      </c>
      <c r="K106" s="459">
        <v>36347.258984573047</v>
      </c>
      <c r="L106" s="459">
        <v>2134495.81</v>
      </c>
      <c r="M106" s="459">
        <v>479932.43</v>
      </c>
      <c r="N106" s="459">
        <v>2616361.2400000002</v>
      </c>
      <c r="O106" s="473">
        <f>SUM(Taulukko8[[#This Row],[Muiden kuin pakolaisten osuus kotoutumiskoulutuksista,  €]:[Palkkatuki, yksityinen, €]])</f>
        <v>6786922.4490809832</v>
      </c>
      <c r="P106" s="459">
        <f>Taulukko8[[#This Row],[Palvelut yhteensä, €]]/Taulukko8[[#This Row],[Työttömät 2022]]</f>
        <v>1860.4502327524624</v>
      </c>
      <c r="Q106" s="473">
        <v>3896025.8027134938</v>
      </c>
      <c r="R106" s="459">
        <f>Taulukko8[[#This Row],[Toimintamenot, arvio]]/Taulukko8[[#This Row],[Työttömät 2022]]</f>
        <v>1067.9895292526026</v>
      </c>
      <c r="S106" s="473">
        <f>Taulukko8[[#This Row],[Palvelut yhteensä, €]]+Taulukko8[[#This Row],[Toimintamenot, arvio]]</f>
        <v>10682948.251794476</v>
      </c>
      <c r="T106" s="481">
        <f>(Taulukko8[[#This Row],[Palvelut + toimintamenot]]/$S$6)*$T$1</f>
        <v>11226046.357469043</v>
      </c>
      <c r="U106" s="483">
        <f>Taulukko8[[#This Row],[Palvelut + toimintamenot, skaalattu siirtyvän rahoituksen tasoon]]*0.5</f>
        <v>5613023.1787345214</v>
      </c>
    </row>
    <row r="107" spans="1:21">
      <c r="A107" s="465">
        <v>287</v>
      </c>
      <c r="B107" s="456" t="s">
        <v>112</v>
      </c>
      <c r="C107" s="459">
        <v>6242</v>
      </c>
      <c r="D107" s="459">
        <v>2632</v>
      </c>
      <c r="E107" s="459">
        <v>130</v>
      </c>
      <c r="F107" s="459">
        <v>42956</v>
      </c>
      <c r="G107" s="459">
        <v>12569.933858730747</v>
      </c>
      <c r="H107" s="459">
        <v>7541.9603152384479</v>
      </c>
      <c r="I107" s="459">
        <v>33561.000136979987</v>
      </c>
      <c r="J107" s="459">
        <v>42273.351587301586</v>
      </c>
      <c r="K107" s="459">
        <v>5654.9639638304188</v>
      </c>
      <c r="L107" s="459">
        <v>39269.599999999999</v>
      </c>
      <c r="M107" s="459">
        <v>26718.48</v>
      </c>
      <c r="N107" s="459">
        <v>71453.55</v>
      </c>
      <c r="O107" s="473">
        <f>SUM(Taulukko8[[#This Row],[Muiden kuin pakolaisten osuus kotoutumiskoulutuksista,  €]:[Palkkatuki, yksityinen, €]])</f>
        <v>226472.90600335045</v>
      </c>
      <c r="P107" s="459">
        <f>Taulukko8[[#This Row],[Palvelut yhteensä, €]]/Taulukko8[[#This Row],[Työttömät 2022]]</f>
        <v>1742.0992769488496</v>
      </c>
      <c r="Q107" s="473">
        <v>137711.05529690435</v>
      </c>
      <c r="R107" s="459">
        <f>Taulukko8[[#This Row],[Toimintamenot, arvio]]/Taulukko8[[#This Row],[Työttömät 2022]]</f>
        <v>1059.3158099761872</v>
      </c>
      <c r="S107" s="473">
        <f>Taulukko8[[#This Row],[Palvelut yhteensä, €]]+Taulukko8[[#This Row],[Toimintamenot, arvio]]</f>
        <v>364183.9613002548</v>
      </c>
      <c r="T107" s="481">
        <f>(Taulukko8[[#This Row],[Palvelut + toimintamenot]]/$S$6)*$T$1</f>
        <v>382698.29038221069</v>
      </c>
      <c r="U107" s="483">
        <f>Taulukko8[[#This Row],[Palvelut + toimintamenot, skaalattu siirtyvän rahoituksen tasoon]]*0.5</f>
        <v>191349.14519110534</v>
      </c>
    </row>
    <row r="108" spans="1:21">
      <c r="A108" s="465">
        <v>288</v>
      </c>
      <c r="B108" s="456" t="s">
        <v>113</v>
      </c>
      <c r="C108" s="459">
        <v>6405</v>
      </c>
      <c r="D108" s="459">
        <v>2959</v>
      </c>
      <c r="E108" s="459">
        <v>112</v>
      </c>
      <c r="F108" s="459">
        <v>48597</v>
      </c>
      <c r="G108" s="459">
        <v>22851.224297804631</v>
      </c>
      <c r="H108" s="459">
        <v>13710.734578682777</v>
      </c>
      <c r="I108" s="459">
        <v>61011.454030532237</v>
      </c>
      <c r="J108" s="459">
        <v>11272.893756613756</v>
      </c>
      <c r="K108" s="459">
        <v>4871.9689534538993</v>
      </c>
      <c r="L108" s="459">
        <v>58637.81</v>
      </c>
      <c r="M108" s="459">
        <v>41677.94</v>
      </c>
      <c r="N108" s="459">
        <v>72262.710000000006</v>
      </c>
      <c r="O108" s="473">
        <f>SUM(Taulukko8[[#This Row],[Muiden kuin pakolaisten osuus kotoutumiskoulutuksista,  €]:[Palkkatuki, yksityinen, €]])</f>
        <v>263445.5113192827</v>
      </c>
      <c r="P108" s="459">
        <f>Taulukko8[[#This Row],[Palvelut yhteensä, €]]/Taulukko8[[#This Row],[Työttömät 2022]]</f>
        <v>2352.1920653507382</v>
      </c>
      <c r="Q108" s="473">
        <v>155795.32904049868</v>
      </c>
      <c r="R108" s="459">
        <f>Taulukko8[[#This Row],[Toimintamenot, arvio]]/Taulukko8[[#This Row],[Työttömät 2022]]</f>
        <v>1391.029723575881</v>
      </c>
      <c r="S108" s="473">
        <f>Taulukko8[[#This Row],[Palvelut yhteensä, €]]+Taulukko8[[#This Row],[Toimintamenot, arvio]]</f>
        <v>419240.8403597814</v>
      </c>
      <c r="T108" s="481">
        <f>(Taulukko8[[#This Row],[Palvelut + toimintamenot]]/$S$6)*$T$1</f>
        <v>440554.14272297168</v>
      </c>
      <c r="U108" s="483">
        <f>Taulukko8[[#This Row],[Palvelut + toimintamenot, skaalattu siirtyvän rahoituksen tasoon]]*0.5</f>
        <v>220277.07136148584</v>
      </c>
    </row>
    <row r="109" spans="1:21">
      <c r="A109" s="465">
        <v>290</v>
      </c>
      <c r="B109" s="456" t="s">
        <v>114</v>
      </c>
      <c r="C109" s="459">
        <v>7755</v>
      </c>
      <c r="D109" s="459">
        <v>3120</v>
      </c>
      <c r="E109" s="459">
        <v>362</v>
      </c>
      <c r="F109" s="459">
        <v>123698</v>
      </c>
      <c r="G109" s="459">
        <v>305507.38377540105</v>
      </c>
      <c r="H109" s="459">
        <v>183304.43026524063</v>
      </c>
      <c r="I109" s="459">
        <v>324089.95033582888</v>
      </c>
      <c r="J109" s="459">
        <v>26685.671351351353</v>
      </c>
      <c r="K109" s="459">
        <v>2409.2188818117475</v>
      </c>
      <c r="L109" s="459">
        <v>252259.58999999997</v>
      </c>
      <c r="M109" s="459">
        <v>54342.16</v>
      </c>
      <c r="N109" s="459">
        <v>477165.20999999996</v>
      </c>
      <c r="O109" s="473">
        <f>SUM(Taulukko8[[#This Row],[Muiden kuin pakolaisten osuus kotoutumiskoulutuksista,  €]:[Palkkatuki, yksityinen, €]])</f>
        <v>1320256.2308342326</v>
      </c>
      <c r="P109" s="459">
        <f>Taulukko8[[#This Row],[Palvelut yhteensä, €]]/Taulukko8[[#This Row],[Työttömät 2022]]</f>
        <v>3647.1166597630736</v>
      </c>
      <c r="Q109" s="473">
        <v>439575.27708550467</v>
      </c>
      <c r="R109" s="459">
        <f>Taulukko8[[#This Row],[Toimintamenot, arvio]]/Taulukko8[[#This Row],[Työttömät 2022]]</f>
        <v>1214.2963455400682</v>
      </c>
      <c r="S109" s="473">
        <f>Taulukko8[[#This Row],[Palvelut yhteensä, €]]+Taulukko8[[#This Row],[Toimintamenot, arvio]]</f>
        <v>1759831.5079197374</v>
      </c>
      <c r="T109" s="481">
        <f>(Taulukko8[[#This Row],[Palvelut + toimintamenot]]/$S$6)*$T$1</f>
        <v>1849297.555655865</v>
      </c>
      <c r="U109" s="483">
        <f>Taulukko8[[#This Row],[Palvelut + toimintamenot, skaalattu siirtyvän rahoituksen tasoon]]*0.5</f>
        <v>924648.7778279325</v>
      </c>
    </row>
    <row r="110" spans="1:21">
      <c r="A110" s="465">
        <v>291</v>
      </c>
      <c r="B110" s="456" t="s">
        <v>115</v>
      </c>
      <c r="C110" s="459">
        <v>2119</v>
      </c>
      <c r="D110" s="459">
        <v>792</v>
      </c>
      <c r="E110" s="459">
        <v>89</v>
      </c>
      <c r="F110" s="459">
        <v>24563</v>
      </c>
      <c r="G110" s="459">
        <v>634.62476743851573</v>
      </c>
      <c r="H110" s="459">
        <v>380.77486046310941</v>
      </c>
      <c r="I110" s="459">
        <v>923.99369135624897</v>
      </c>
      <c r="J110" s="459">
        <v>0</v>
      </c>
      <c r="K110" s="459">
        <v>781.09454912264221</v>
      </c>
      <c r="L110" s="459">
        <v>56008.160000000003</v>
      </c>
      <c r="M110" s="459">
        <v>13659.599999999999</v>
      </c>
      <c r="N110" s="459">
        <v>67790.259999999995</v>
      </c>
      <c r="O110" s="473">
        <f>SUM(Taulukko8[[#This Row],[Muiden kuin pakolaisten osuus kotoutumiskoulutuksista,  €]:[Palkkatuki, yksityinen, €]])</f>
        <v>139543.88310094201</v>
      </c>
      <c r="P110" s="459">
        <f>Taulukko8[[#This Row],[Palvelut yhteensä, €]]/Taulukko8[[#This Row],[Työttömät 2022]]</f>
        <v>1567.908798886989</v>
      </c>
      <c r="Q110" s="473">
        <v>67357.134597395168</v>
      </c>
      <c r="R110" s="459">
        <f>Taulukko8[[#This Row],[Toimintamenot, arvio]]/Taulukko8[[#This Row],[Työttömät 2022]]</f>
        <v>756.82173704938396</v>
      </c>
      <c r="S110" s="473">
        <f>Taulukko8[[#This Row],[Palvelut yhteensä, €]]+Taulukko8[[#This Row],[Toimintamenot, arvio]]</f>
        <v>206901.01769833718</v>
      </c>
      <c r="T110" s="481">
        <f>(Taulukko8[[#This Row],[Palvelut + toimintamenot]]/$S$6)*$T$1</f>
        <v>217419.42030833126</v>
      </c>
      <c r="U110" s="483">
        <f>Taulukko8[[#This Row],[Palvelut + toimintamenot, skaalattu siirtyvän rahoituksen tasoon]]*0.5</f>
        <v>108709.71015416563</v>
      </c>
    </row>
    <row r="111" spans="1:21">
      <c r="A111" s="465">
        <v>297</v>
      </c>
      <c r="B111" s="456" t="s">
        <v>116</v>
      </c>
      <c r="C111" s="459">
        <v>122594</v>
      </c>
      <c r="D111" s="459">
        <v>58516</v>
      </c>
      <c r="E111" s="459">
        <v>5626</v>
      </c>
      <c r="F111" s="459">
        <v>1663735</v>
      </c>
      <c r="G111" s="459">
        <v>601142.57004940056</v>
      </c>
      <c r="H111" s="459">
        <v>360685.54202964035</v>
      </c>
      <c r="I111" s="459">
        <v>2607674.0986729343</v>
      </c>
      <c r="J111" s="459">
        <v>628857.29777777777</v>
      </c>
      <c r="K111" s="459">
        <v>65863.068826440096</v>
      </c>
      <c r="L111" s="459">
        <v>783144.08000000007</v>
      </c>
      <c r="M111" s="459">
        <v>637258.43999999994</v>
      </c>
      <c r="N111" s="459">
        <v>2912766.59</v>
      </c>
      <c r="O111" s="473">
        <f>SUM(Taulukko8[[#This Row],[Muiden kuin pakolaisten osuus kotoutumiskoulutuksista,  €]:[Palkkatuki, yksityinen, €]])</f>
        <v>7996249.1173067912</v>
      </c>
      <c r="P111" s="459">
        <f>Taulukko8[[#This Row],[Palvelut yhteensä, €]]/Taulukko8[[#This Row],[Työttömät 2022]]</f>
        <v>1421.3027225927465</v>
      </c>
      <c r="Q111" s="473">
        <v>5150511.2441535108</v>
      </c>
      <c r="R111" s="459">
        <f>Taulukko8[[#This Row],[Toimintamenot, arvio]]/Taulukko8[[#This Row],[Työttömät 2022]]</f>
        <v>915.48369074893549</v>
      </c>
      <c r="S111" s="473">
        <f>Taulukko8[[#This Row],[Palvelut yhteensä, €]]+Taulukko8[[#This Row],[Toimintamenot, arvio]]</f>
        <v>13146760.361460302</v>
      </c>
      <c r="T111" s="481">
        <f>(Taulukko8[[#This Row],[Palvelut + toimintamenot]]/$S$6)*$T$1</f>
        <v>13815113.374109898</v>
      </c>
      <c r="U111" s="483">
        <f>Taulukko8[[#This Row],[Palvelut + toimintamenot, skaalattu siirtyvän rahoituksen tasoon]]*0.5</f>
        <v>6907556.6870549489</v>
      </c>
    </row>
    <row r="112" spans="1:21">
      <c r="A112" s="465">
        <v>300</v>
      </c>
      <c r="B112" s="456" t="s">
        <v>117</v>
      </c>
      <c r="C112" s="459">
        <v>3437</v>
      </c>
      <c r="D112" s="459">
        <v>1456</v>
      </c>
      <c r="E112" s="459">
        <v>55</v>
      </c>
      <c r="F112" s="459">
        <v>21734</v>
      </c>
      <c r="G112" s="459">
        <v>4427.6165219574796</v>
      </c>
      <c r="H112" s="459">
        <v>2656.5699131744877</v>
      </c>
      <c r="I112" s="459">
        <v>7214.9899704257577</v>
      </c>
      <c r="J112" s="459">
        <v>3911.1681673306771</v>
      </c>
      <c r="K112" s="459">
        <v>729.33115641349445</v>
      </c>
      <c r="L112" s="459">
        <v>520.82000000000005</v>
      </c>
      <c r="M112" s="459">
        <v>22787.86</v>
      </c>
      <c r="N112" s="459">
        <v>68354.45</v>
      </c>
      <c r="O112" s="473">
        <f>SUM(Taulukko8[[#This Row],[Muiden kuin pakolaisten osuus kotoutumiskoulutuksista,  €]:[Palkkatuki, yksityinen, €]])</f>
        <v>106175.18920734442</v>
      </c>
      <c r="P112" s="459">
        <f>Taulukko8[[#This Row],[Palvelut yhteensä, €]]/Taulukko8[[#This Row],[Työttömät 2022]]</f>
        <v>1930.4579855880804</v>
      </c>
      <c r="Q112" s="473">
        <v>76808.001816908363</v>
      </c>
      <c r="R112" s="459">
        <f>Taulukko8[[#This Row],[Toimintamenot, arvio]]/Taulukko8[[#This Row],[Työttömät 2022]]</f>
        <v>1396.5091239437884</v>
      </c>
      <c r="S112" s="473">
        <f>Taulukko8[[#This Row],[Palvelut yhteensä, €]]+Taulukko8[[#This Row],[Toimintamenot, arvio]]</f>
        <v>182983.1910242528</v>
      </c>
      <c r="T112" s="481">
        <f>(Taulukko8[[#This Row],[Palvelut + toimintamenot]]/$S$6)*$T$1</f>
        <v>192285.6627832886</v>
      </c>
      <c r="U112" s="483">
        <f>Taulukko8[[#This Row],[Palvelut + toimintamenot, skaalattu siirtyvän rahoituksen tasoon]]*0.5</f>
        <v>96142.8313916443</v>
      </c>
    </row>
    <row r="113" spans="1:21">
      <c r="A113" s="465">
        <v>301</v>
      </c>
      <c r="B113" s="456" t="s">
        <v>118</v>
      </c>
      <c r="C113" s="459">
        <v>19890</v>
      </c>
      <c r="D113" s="459">
        <v>8515</v>
      </c>
      <c r="E113" s="459">
        <v>619</v>
      </c>
      <c r="F113" s="459">
        <v>205409</v>
      </c>
      <c r="G113" s="459">
        <v>120940.64855867418</v>
      </c>
      <c r="H113" s="459">
        <v>72564.389135204503</v>
      </c>
      <c r="I113" s="459">
        <v>197077.94521957482</v>
      </c>
      <c r="J113" s="459">
        <v>93868.036015936246</v>
      </c>
      <c r="K113" s="459">
        <v>8208.2906512718728</v>
      </c>
      <c r="L113" s="459">
        <v>584509.62</v>
      </c>
      <c r="M113" s="459">
        <v>83349.42</v>
      </c>
      <c r="N113" s="459">
        <v>354950.94</v>
      </c>
      <c r="O113" s="473">
        <f>SUM(Taulukko8[[#This Row],[Muiden kuin pakolaisten osuus kotoutumiskoulutuksista,  €]:[Palkkatuki, yksityinen, €]])</f>
        <v>1394528.6410219874</v>
      </c>
      <c r="P113" s="459">
        <f>Taulukko8[[#This Row],[Palvelut yhteensä, €]]/Taulukko8[[#This Row],[Työttömät 2022]]</f>
        <v>2252.8734103747779</v>
      </c>
      <c r="Q113" s="473">
        <v>725915.83901763731</v>
      </c>
      <c r="R113" s="459">
        <f>Taulukko8[[#This Row],[Toimintamenot, arvio]]/Taulukko8[[#This Row],[Työttömät 2022]]</f>
        <v>1172.7234879121766</v>
      </c>
      <c r="S113" s="473">
        <f>Taulukko8[[#This Row],[Palvelut yhteensä, €]]+Taulukko8[[#This Row],[Toimintamenot, arvio]]</f>
        <v>2120444.4800396245</v>
      </c>
      <c r="T113" s="481">
        <f>(Taulukko8[[#This Row],[Palvelut + toimintamenot]]/$S$6)*$T$1</f>
        <v>2228243.3154504551</v>
      </c>
      <c r="U113" s="483">
        <f>Taulukko8[[#This Row],[Palvelut + toimintamenot, skaalattu siirtyvän rahoituksen tasoon]]*0.5</f>
        <v>1114121.6577252275</v>
      </c>
    </row>
    <row r="114" spans="1:21">
      <c r="A114" s="465">
        <v>304</v>
      </c>
      <c r="B114" s="456" t="s">
        <v>119</v>
      </c>
      <c r="C114" s="459">
        <v>950</v>
      </c>
      <c r="D114" s="459">
        <v>417</v>
      </c>
      <c r="E114" s="459">
        <v>34</v>
      </c>
      <c r="F114" s="459">
        <v>9019</v>
      </c>
      <c r="G114" s="459">
        <v>10073.19170630523</v>
      </c>
      <c r="H114" s="459">
        <v>6043.9150237831373</v>
      </c>
      <c r="I114" s="459">
        <v>6444.4773676583409</v>
      </c>
      <c r="J114" s="459">
        <v>1897.0382885572137</v>
      </c>
      <c r="K114" s="459">
        <v>319.74872646733115</v>
      </c>
      <c r="L114" s="459">
        <v>52878.99</v>
      </c>
      <c r="M114" s="459">
        <v>6156.52</v>
      </c>
      <c r="N114" s="459">
        <v>21288.23</v>
      </c>
      <c r="O114" s="473">
        <f>SUM(Taulukko8[[#This Row],[Muiden kuin pakolaisten osuus kotoutumiskoulutuksista,  €]:[Palkkatuki, yksityinen, €]])</f>
        <v>95028.919406466026</v>
      </c>
      <c r="P114" s="459">
        <f>Taulukko8[[#This Row],[Palvelut yhteensä, €]]/Taulukko8[[#This Row],[Työttömät 2022]]</f>
        <v>2794.9682178372359</v>
      </c>
      <c r="Q114" s="473">
        <v>25314.757610601042</v>
      </c>
      <c r="R114" s="459">
        <f>Taulukko8[[#This Row],[Toimintamenot, arvio]]/Taulukko8[[#This Row],[Työttömät 2022]]</f>
        <v>744.55169442944236</v>
      </c>
      <c r="S114" s="473">
        <f>Taulukko8[[#This Row],[Palvelut yhteensä, €]]+Taulukko8[[#This Row],[Toimintamenot, arvio]]</f>
        <v>120343.67701706706</v>
      </c>
      <c r="T114" s="481">
        <f>(Taulukko8[[#This Row],[Palvelut + toimintamenot]]/$S$6)*$T$1</f>
        <v>126461.69064751804</v>
      </c>
      <c r="U114" s="483">
        <f>Taulukko8[[#This Row],[Palvelut + toimintamenot, skaalattu siirtyvän rahoituksen tasoon]]*0.5</f>
        <v>63230.845323759022</v>
      </c>
    </row>
    <row r="115" spans="1:21">
      <c r="A115" s="465">
        <v>305</v>
      </c>
      <c r="B115" s="456" t="s">
        <v>120</v>
      </c>
      <c r="C115" s="459">
        <v>15146</v>
      </c>
      <c r="D115" s="459">
        <v>6523</v>
      </c>
      <c r="E115" s="459">
        <v>569</v>
      </c>
      <c r="F115" s="459">
        <v>206523</v>
      </c>
      <c r="G115" s="459">
        <v>46104.464103657752</v>
      </c>
      <c r="H115" s="459">
        <v>27662.67846219465</v>
      </c>
      <c r="I115" s="459">
        <v>126939.9532557839</v>
      </c>
      <c r="J115" s="459">
        <v>4833.529942196531</v>
      </c>
      <c r="K115" s="459">
        <v>6591.8307851836016</v>
      </c>
      <c r="L115" s="459">
        <v>334762.98</v>
      </c>
      <c r="M115" s="459">
        <v>103061.70000000001</v>
      </c>
      <c r="N115" s="459">
        <v>809363.66999999993</v>
      </c>
      <c r="O115" s="473">
        <f>SUM(Taulukko8[[#This Row],[Muiden kuin pakolaisten osuus kotoutumiskoulutuksista,  €]:[Palkkatuki, yksityinen, €]])</f>
        <v>1413216.3424453586</v>
      </c>
      <c r="P115" s="459">
        <f>Taulukko8[[#This Row],[Palvelut yhteensä, €]]/Taulukko8[[#This Row],[Työttömät 2022]]</f>
        <v>2483.6842573732138</v>
      </c>
      <c r="Q115" s="473">
        <v>585407.69864305959</v>
      </c>
      <c r="R115" s="459">
        <f>Taulukko8[[#This Row],[Toimintamenot, arvio]]/Taulukko8[[#This Row],[Työttömät 2022]]</f>
        <v>1028.8360257347269</v>
      </c>
      <c r="S115" s="473">
        <f>Taulukko8[[#This Row],[Palvelut yhteensä, €]]+Taulukko8[[#This Row],[Toimintamenot, arvio]]</f>
        <v>1998624.0410884181</v>
      </c>
      <c r="T115" s="481">
        <f>(Taulukko8[[#This Row],[Palvelut + toimintamenot]]/$S$6)*$T$1</f>
        <v>2100229.7874691924</v>
      </c>
      <c r="U115" s="483">
        <f>Taulukko8[[#This Row],[Palvelut + toimintamenot, skaalattu siirtyvän rahoituksen tasoon]]*0.5</f>
        <v>1050114.8937345962</v>
      </c>
    </row>
    <row r="116" spans="1:21">
      <c r="A116" s="465">
        <v>309</v>
      </c>
      <c r="B116" s="456" t="s">
        <v>121</v>
      </c>
      <c r="C116" s="459">
        <v>6457</v>
      </c>
      <c r="D116" s="459">
        <v>2503</v>
      </c>
      <c r="E116" s="459">
        <v>394</v>
      </c>
      <c r="F116" s="459">
        <v>126560</v>
      </c>
      <c r="G116" s="459">
        <v>96740.630073069289</v>
      </c>
      <c r="H116" s="459">
        <v>58044.378043841571</v>
      </c>
      <c r="I116" s="459">
        <v>176598.94489301907</v>
      </c>
      <c r="J116" s="459">
        <v>15658.615463917526</v>
      </c>
      <c r="K116" s="459">
        <v>3237.226323658751</v>
      </c>
      <c r="L116" s="459">
        <v>238288.2</v>
      </c>
      <c r="M116" s="459">
        <v>20149.12</v>
      </c>
      <c r="N116" s="459">
        <v>309324.90000000002</v>
      </c>
      <c r="O116" s="473">
        <f>SUM(Taulukko8[[#This Row],[Muiden kuin pakolaisten osuus kotoutumiskoulutuksista,  €]:[Palkkatuki, yksityinen, €]])</f>
        <v>821301.38472443691</v>
      </c>
      <c r="P116" s="459">
        <f>Taulukko8[[#This Row],[Palvelut yhteensä, €]]/Taulukko8[[#This Row],[Työttömät 2022]]</f>
        <v>2084.5212810264898</v>
      </c>
      <c r="Q116" s="473">
        <v>334894.58707229909</v>
      </c>
      <c r="R116" s="459">
        <f>Taulukko8[[#This Row],[Toimintamenot, arvio]]/Taulukko8[[#This Row],[Työttömät 2022]]</f>
        <v>849.98626160482002</v>
      </c>
      <c r="S116" s="473">
        <f>Taulukko8[[#This Row],[Palvelut yhteensä, €]]+Taulukko8[[#This Row],[Toimintamenot, arvio]]</f>
        <v>1156195.9717967361</v>
      </c>
      <c r="T116" s="481">
        <f>(Taulukko8[[#This Row],[Palvelut + toimintamenot]]/$S$6)*$T$1</f>
        <v>1214974.48754644</v>
      </c>
      <c r="U116" s="483">
        <f>Taulukko8[[#This Row],[Palvelut + toimintamenot, skaalattu siirtyvän rahoituksen tasoon]]*0.5</f>
        <v>607487.24377321999</v>
      </c>
    </row>
    <row r="117" spans="1:21">
      <c r="A117" s="465">
        <v>312</v>
      </c>
      <c r="B117" s="456" t="s">
        <v>122</v>
      </c>
      <c r="C117" s="459">
        <v>1196</v>
      </c>
      <c r="D117" s="459">
        <v>451</v>
      </c>
      <c r="E117" s="459">
        <v>34</v>
      </c>
      <c r="F117" s="459">
        <v>13031</v>
      </c>
      <c r="G117" s="459">
        <v>0</v>
      </c>
      <c r="H117" s="459">
        <v>0</v>
      </c>
      <c r="I117" s="459">
        <v>0</v>
      </c>
      <c r="J117" s="459">
        <v>1666.2403303964759</v>
      </c>
      <c r="K117" s="459">
        <v>410.99841885108765</v>
      </c>
      <c r="L117" s="459">
        <v>38593.78</v>
      </c>
      <c r="M117" s="459">
        <v>0</v>
      </c>
      <c r="N117" s="459">
        <v>3241.13</v>
      </c>
      <c r="O117" s="473">
        <f>SUM(Taulukko8[[#This Row],[Muiden kuin pakolaisten osuus kotoutumiskoulutuksista,  €]:[Palkkatuki, yksityinen, €]])</f>
        <v>43912.148749247557</v>
      </c>
      <c r="P117" s="459">
        <f>Taulukko8[[#This Row],[Palvelut yhteensä, €]]/Taulukko8[[#This Row],[Työttömät 2022]]</f>
        <v>1291.5337867425751</v>
      </c>
      <c r="Q117" s="473">
        <v>37614.05338237033</v>
      </c>
      <c r="R117" s="459">
        <f>Taulukko8[[#This Row],[Toimintamenot, arvio]]/Taulukko8[[#This Row],[Työttömät 2022]]</f>
        <v>1106.2956877167744</v>
      </c>
      <c r="S117" s="473">
        <f>Taulukko8[[#This Row],[Palvelut yhteensä, €]]+Taulukko8[[#This Row],[Toimintamenot, arvio]]</f>
        <v>81526.202131617887</v>
      </c>
      <c r="T117" s="481">
        <f>(Taulukko8[[#This Row],[Palvelut + toimintamenot]]/$S$6)*$T$1</f>
        <v>85670.818851359654</v>
      </c>
      <c r="U117" s="483">
        <f>Taulukko8[[#This Row],[Palvelut + toimintamenot, skaalattu siirtyvän rahoituksen tasoon]]*0.5</f>
        <v>42835.409425679827</v>
      </c>
    </row>
    <row r="118" spans="1:21">
      <c r="A118" s="465">
        <v>316</v>
      </c>
      <c r="B118" s="456" t="s">
        <v>123</v>
      </c>
      <c r="C118" s="459">
        <v>4198</v>
      </c>
      <c r="D118" s="459">
        <v>1958</v>
      </c>
      <c r="E118" s="459">
        <v>183</v>
      </c>
      <c r="F118" s="459">
        <v>56206</v>
      </c>
      <c r="G118" s="459">
        <v>20214.856943616545</v>
      </c>
      <c r="H118" s="459">
        <v>12128.914166169927</v>
      </c>
      <c r="I118" s="459">
        <v>9803.054970807987</v>
      </c>
      <c r="J118" s="459">
        <v>10658.023742603551</v>
      </c>
      <c r="K118" s="459">
        <v>2489.1544113436121</v>
      </c>
      <c r="L118" s="459">
        <v>102734.26</v>
      </c>
      <c r="M118" s="459">
        <v>25199.54</v>
      </c>
      <c r="N118" s="459">
        <v>227690.28999999998</v>
      </c>
      <c r="O118" s="473">
        <f>SUM(Taulukko8[[#This Row],[Muiden kuin pakolaisten osuus kotoutumiskoulutuksista,  €]:[Palkkatuki, yksityinen, €]])</f>
        <v>390703.23729092506</v>
      </c>
      <c r="P118" s="459">
        <f>Taulukko8[[#This Row],[Palvelut yhteensä, €]]/Taulukko8[[#This Row],[Työttömät 2022]]</f>
        <v>2134.9903677099728</v>
      </c>
      <c r="Q118" s="473">
        <v>165166.59896503988</v>
      </c>
      <c r="R118" s="459">
        <f>Taulukko8[[#This Row],[Toimintamenot, arvio]]/Taulukko8[[#This Row],[Työttömät 2022]]</f>
        <v>902.54972112043652</v>
      </c>
      <c r="S118" s="473">
        <f>Taulukko8[[#This Row],[Palvelut yhteensä, €]]+Taulukko8[[#This Row],[Toimintamenot, arvio]]</f>
        <v>555869.83625596494</v>
      </c>
      <c r="T118" s="481">
        <f>(Taulukko8[[#This Row],[Palvelut + toimintamenot]]/$S$6)*$T$1</f>
        <v>584129.06282495405</v>
      </c>
      <c r="U118" s="483">
        <f>Taulukko8[[#This Row],[Palvelut + toimintamenot, skaalattu siirtyvän rahoituksen tasoon]]*0.5</f>
        <v>292064.53141247702</v>
      </c>
    </row>
    <row r="119" spans="1:21">
      <c r="A119" s="465">
        <v>317</v>
      </c>
      <c r="B119" s="456" t="s">
        <v>124</v>
      </c>
      <c r="C119" s="459">
        <v>2474</v>
      </c>
      <c r="D119" s="459">
        <v>1003</v>
      </c>
      <c r="E119" s="459">
        <v>75</v>
      </c>
      <c r="F119" s="459">
        <v>23916</v>
      </c>
      <c r="G119" s="459">
        <v>64.3917096419801</v>
      </c>
      <c r="H119" s="459">
        <v>38.635025785188056</v>
      </c>
      <c r="I119" s="459">
        <v>177.29043750807807</v>
      </c>
      <c r="J119" s="459">
        <v>2416.7649710982655</v>
      </c>
      <c r="K119" s="459">
        <v>868.87049013843614</v>
      </c>
      <c r="L119" s="459">
        <v>14571.4</v>
      </c>
      <c r="M119" s="459">
        <v>15549.86</v>
      </c>
      <c r="N119" s="459">
        <v>160998.79999999999</v>
      </c>
      <c r="O119" s="473">
        <f>SUM(Taulukko8[[#This Row],[Muiden kuin pakolaisten osuus kotoutumiskoulutuksista,  €]:[Palkkatuki, yksityinen, €]])</f>
        <v>194621.62092452997</v>
      </c>
      <c r="P119" s="459">
        <f>Taulukko8[[#This Row],[Palvelut yhteensä, €]]/Taulukko8[[#This Row],[Työttömät 2022]]</f>
        <v>2594.9549456603995</v>
      </c>
      <c r="Q119" s="473">
        <v>67792.016001837139</v>
      </c>
      <c r="R119" s="459">
        <f>Taulukko8[[#This Row],[Toimintamenot, arvio]]/Taulukko8[[#This Row],[Työttömät 2022]]</f>
        <v>903.89354669116187</v>
      </c>
      <c r="S119" s="473">
        <f>Taulukko8[[#This Row],[Palvelut yhteensä, €]]+Taulukko8[[#This Row],[Toimintamenot, arvio]]</f>
        <v>262413.63692636712</v>
      </c>
      <c r="T119" s="481">
        <f>(Taulukko8[[#This Row],[Palvelut + toimintamenot]]/$S$6)*$T$1</f>
        <v>275754.18166727648</v>
      </c>
      <c r="U119" s="483">
        <f>Taulukko8[[#This Row],[Palvelut + toimintamenot, skaalattu siirtyvän rahoituksen tasoon]]*0.5</f>
        <v>137877.09083363824</v>
      </c>
    </row>
    <row r="120" spans="1:21">
      <c r="A120" s="465">
        <v>320</v>
      </c>
      <c r="B120" s="456" t="s">
        <v>125</v>
      </c>
      <c r="C120" s="459">
        <v>6996</v>
      </c>
      <c r="D120" s="459">
        <v>2731</v>
      </c>
      <c r="E120" s="459">
        <v>406</v>
      </c>
      <c r="F120" s="459">
        <v>102337</v>
      </c>
      <c r="G120" s="459">
        <v>37728.330040048189</v>
      </c>
      <c r="H120" s="459">
        <v>22636.998024028911</v>
      </c>
      <c r="I120" s="459">
        <v>76735.004439813769</v>
      </c>
      <c r="J120" s="459">
        <v>53822.462597938145</v>
      </c>
      <c r="K120" s="459">
        <v>20583.216518738849</v>
      </c>
      <c r="L120" s="459">
        <v>127078.12</v>
      </c>
      <c r="M120" s="459">
        <v>81783.899999999994</v>
      </c>
      <c r="N120" s="459">
        <v>153368.44</v>
      </c>
      <c r="O120" s="473">
        <f>SUM(Taulukko8[[#This Row],[Muiden kuin pakolaisten osuus kotoutumiskoulutuksista,  €]:[Palkkatuki, yksityinen, €]])</f>
        <v>536008.14158051973</v>
      </c>
      <c r="P120" s="459">
        <f>Taulukko8[[#This Row],[Palvelut yhteensä, €]]/Taulukko8[[#This Row],[Työttömät 2022]]</f>
        <v>1320.2170974889648</v>
      </c>
      <c r="Q120" s="473">
        <v>365456.59580203652</v>
      </c>
      <c r="R120" s="459">
        <f>Taulukko8[[#This Row],[Toimintamenot, arvio]]/Taulukko8[[#This Row],[Työttömät 2022]]</f>
        <v>900.13939852718352</v>
      </c>
      <c r="S120" s="473">
        <f>Taulukko8[[#This Row],[Palvelut yhteensä, €]]+Taulukko8[[#This Row],[Toimintamenot, arvio]]</f>
        <v>901464.73738255631</v>
      </c>
      <c r="T120" s="481">
        <f>(Taulukko8[[#This Row],[Palvelut + toimintamenot]]/$S$6)*$T$1</f>
        <v>947293.26520704036</v>
      </c>
      <c r="U120" s="483">
        <f>Taulukko8[[#This Row],[Palvelut + toimintamenot, skaalattu siirtyvän rahoituksen tasoon]]*0.5</f>
        <v>473646.63260352018</v>
      </c>
    </row>
    <row r="121" spans="1:21">
      <c r="A121" s="465">
        <v>322</v>
      </c>
      <c r="B121" s="456" t="s">
        <v>126</v>
      </c>
      <c r="C121" s="459">
        <v>6549</v>
      </c>
      <c r="D121" s="459">
        <v>2748</v>
      </c>
      <c r="E121" s="459">
        <v>210</v>
      </c>
      <c r="F121" s="459">
        <v>60986</v>
      </c>
      <c r="G121" s="459">
        <v>23725.01730827153</v>
      </c>
      <c r="H121" s="459">
        <v>14235.010384962918</v>
      </c>
      <c r="I121" s="459">
        <v>15178.440115932146</v>
      </c>
      <c r="J121" s="459">
        <v>3794.0765771144274</v>
      </c>
      <c r="K121" s="459">
        <v>1974.9186046511629</v>
      </c>
      <c r="L121" s="459">
        <v>44318.03</v>
      </c>
      <c r="M121" s="459">
        <v>61875.92</v>
      </c>
      <c r="N121" s="459">
        <v>151003.20000000001</v>
      </c>
      <c r="O121" s="473">
        <f>SUM(Taulukko8[[#This Row],[Muiden kuin pakolaisten osuus kotoutumiskoulutuksista,  €]:[Palkkatuki, yksityinen, €]])</f>
        <v>292379.59568266064</v>
      </c>
      <c r="P121" s="459">
        <f>Taulukko8[[#This Row],[Palvelut yhteensä, €]]/Taulukko8[[#This Row],[Työttömät 2022]]</f>
        <v>1392.2837889650507</v>
      </c>
      <c r="Q121" s="473">
        <v>171177.04930037865</v>
      </c>
      <c r="R121" s="459">
        <f>Taulukko8[[#This Row],[Toimintamenot, arvio]]/Taulukko8[[#This Row],[Työttömät 2022]]</f>
        <v>815.12880619227928</v>
      </c>
      <c r="S121" s="473">
        <f>Taulukko8[[#This Row],[Palvelut yhteensä, €]]+Taulukko8[[#This Row],[Toimintamenot, arvio]]</f>
        <v>463556.6449830393</v>
      </c>
      <c r="T121" s="481">
        <f>(Taulukko8[[#This Row],[Palvelut + toimintamenot]]/$S$6)*$T$1</f>
        <v>487122.8675116243</v>
      </c>
      <c r="U121" s="483">
        <f>Taulukko8[[#This Row],[Palvelut + toimintamenot, skaalattu siirtyvän rahoituksen tasoon]]*0.5</f>
        <v>243561.43375581215</v>
      </c>
    </row>
    <row r="122" spans="1:21">
      <c r="A122" s="465">
        <v>398</v>
      </c>
      <c r="B122" s="456" t="s">
        <v>127</v>
      </c>
      <c r="C122" s="459">
        <v>120175</v>
      </c>
      <c r="D122" s="459">
        <v>56108</v>
      </c>
      <c r="E122" s="459">
        <v>7655</v>
      </c>
      <c r="F122" s="459">
        <v>2282753</v>
      </c>
      <c r="G122" s="459">
        <v>1283396.8932739967</v>
      </c>
      <c r="H122" s="459">
        <v>770038.13596439792</v>
      </c>
      <c r="I122" s="459">
        <v>622374.44119544362</v>
      </c>
      <c r="J122" s="459">
        <v>466821.43992603553</v>
      </c>
      <c r="K122" s="459">
        <v>104122.82523953744</v>
      </c>
      <c r="L122" s="459">
        <v>1119481.93</v>
      </c>
      <c r="M122" s="459">
        <v>816644.78</v>
      </c>
      <c r="N122" s="459">
        <v>3916885.0300000003</v>
      </c>
      <c r="O122" s="473">
        <f>SUM(Taulukko8[[#This Row],[Muiden kuin pakolaisten osuus kotoutumiskoulutuksista,  €]:[Palkkatuki, yksityinen, €]])</f>
        <v>7816368.5823254148</v>
      </c>
      <c r="P122" s="459">
        <f>Taulukko8[[#This Row],[Palvelut yhteensä, €]]/Taulukko8[[#This Row],[Työttömät 2022]]</f>
        <v>1021.0801544513931</v>
      </c>
      <c r="Q122" s="473">
        <v>6708083.6438679453</v>
      </c>
      <c r="R122" s="459">
        <f>Taulukko8[[#This Row],[Toimintamenot, arvio]]/Taulukko8[[#This Row],[Työttömät 2022]]</f>
        <v>876.30093322899347</v>
      </c>
      <c r="S122" s="473">
        <f>Taulukko8[[#This Row],[Palvelut yhteensä, €]]+Taulukko8[[#This Row],[Toimintamenot, arvio]]</f>
        <v>14524452.226193361</v>
      </c>
      <c r="T122" s="481">
        <f>(Taulukko8[[#This Row],[Palvelut + toimintamenot]]/$S$6)*$T$1</f>
        <v>15262844.12926013</v>
      </c>
      <c r="U122" s="483">
        <f>Taulukko8[[#This Row],[Palvelut + toimintamenot, skaalattu siirtyvän rahoituksen tasoon]]*0.5</f>
        <v>7631422.0646300651</v>
      </c>
    </row>
    <row r="123" spans="1:21">
      <c r="A123" s="465">
        <v>399</v>
      </c>
      <c r="B123" s="456" t="s">
        <v>128</v>
      </c>
      <c r="C123" s="459">
        <v>7817</v>
      </c>
      <c r="D123" s="459">
        <v>3634</v>
      </c>
      <c r="E123" s="459">
        <v>189</v>
      </c>
      <c r="F123" s="459">
        <v>66862</v>
      </c>
      <c r="G123" s="459">
        <v>63413.027673876953</v>
      </c>
      <c r="H123" s="459">
        <v>38047.816604326174</v>
      </c>
      <c r="I123" s="459">
        <v>169309.13514482058</v>
      </c>
      <c r="J123" s="459">
        <v>39455.128148148142</v>
      </c>
      <c r="K123" s="459">
        <v>8221.4476089534546</v>
      </c>
      <c r="L123" s="459">
        <v>40345.47</v>
      </c>
      <c r="M123" s="459">
        <v>30874.780000000002</v>
      </c>
      <c r="N123" s="459">
        <v>111209.92</v>
      </c>
      <c r="O123" s="473">
        <f>SUM(Taulukko8[[#This Row],[Muiden kuin pakolaisten osuus kotoutumiskoulutuksista,  €]:[Palkkatuki, yksityinen, €]])</f>
        <v>437463.69750624831</v>
      </c>
      <c r="P123" s="459">
        <f>Taulukko8[[#This Row],[Palvelut yhteensä, €]]/Taulukko8[[#This Row],[Työttömät 2022]]</f>
        <v>2314.6227381282979</v>
      </c>
      <c r="Q123" s="473">
        <v>214350.41855064762</v>
      </c>
      <c r="R123" s="459">
        <f>Taulukko8[[#This Row],[Toimintamenot, arvio]]/Taulukko8[[#This Row],[Työttömät 2022]]</f>
        <v>1134.1291986806752</v>
      </c>
      <c r="S123" s="473">
        <f>Taulukko8[[#This Row],[Palvelut yhteensä, €]]+Taulukko8[[#This Row],[Toimintamenot, arvio]]</f>
        <v>651814.11605689593</v>
      </c>
      <c r="T123" s="481">
        <f>(Taulukko8[[#This Row],[Palvelut + toimintamenot]]/$S$6)*$T$1</f>
        <v>684950.94339507748</v>
      </c>
      <c r="U123" s="483">
        <f>Taulukko8[[#This Row],[Palvelut + toimintamenot, skaalattu siirtyvän rahoituksen tasoon]]*0.5</f>
        <v>342475.47169753874</v>
      </c>
    </row>
    <row r="124" spans="1:21">
      <c r="A124" s="465">
        <v>400</v>
      </c>
      <c r="B124" s="456" t="s">
        <v>129</v>
      </c>
      <c r="C124" s="459">
        <v>8366</v>
      </c>
      <c r="D124" s="459">
        <v>3940</v>
      </c>
      <c r="E124" s="459">
        <v>282</v>
      </c>
      <c r="F124" s="459">
        <v>79058</v>
      </c>
      <c r="G124" s="459">
        <v>141819.93586508679</v>
      </c>
      <c r="H124" s="459">
        <v>85091.961519052071</v>
      </c>
      <c r="I124" s="459">
        <v>90731.45767624244</v>
      </c>
      <c r="J124" s="459">
        <v>9485.1914427860702</v>
      </c>
      <c r="K124" s="459">
        <v>2652.0335548172761</v>
      </c>
      <c r="L124" s="459">
        <v>190580.48000000001</v>
      </c>
      <c r="M124" s="459">
        <v>52504.26</v>
      </c>
      <c r="N124" s="459">
        <v>119751.5</v>
      </c>
      <c r="O124" s="473">
        <f>SUM(Taulukko8[[#This Row],[Muiden kuin pakolaisten osuus kotoutumiskoulutuksista,  €]:[Palkkatuki, yksityinen, €]])</f>
        <v>550796.88419289794</v>
      </c>
      <c r="P124" s="459">
        <f>Taulukko8[[#This Row],[Palvelut yhteensä, €]]/Taulukko8[[#This Row],[Työttömät 2022]]</f>
        <v>1953.1804404003474</v>
      </c>
      <c r="Q124" s="473">
        <v>221901.99658264744</v>
      </c>
      <c r="R124" s="459">
        <f>Taulukko8[[#This Row],[Toimintamenot, arvio]]/Taulukko8[[#This Row],[Työttömät 2022]]</f>
        <v>786.88651270442358</v>
      </c>
      <c r="S124" s="473">
        <f>Taulukko8[[#This Row],[Palvelut yhteensä, €]]+Taulukko8[[#This Row],[Toimintamenot, arvio]]</f>
        <v>772698.88077554537</v>
      </c>
      <c r="T124" s="481">
        <f>(Taulukko8[[#This Row],[Palvelut + toimintamenot]]/$S$6)*$T$1</f>
        <v>811981.22947882267</v>
      </c>
      <c r="U124" s="483">
        <f>Taulukko8[[#This Row],[Palvelut + toimintamenot, skaalattu siirtyvän rahoituksen tasoon]]*0.5</f>
        <v>405990.61473941134</v>
      </c>
    </row>
    <row r="125" spans="1:21">
      <c r="A125" s="465">
        <v>402</v>
      </c>
      <c r="B125" s="456" t="s">
        <v>130</v>
      </c>
      <c r="C125" s="459">
        <v>9099</v>
      </c>
      <c r="D125" s="459">
        <v>4015</v>
      </c>
      <c r="E125" s="459">
        <v>393</v>
      </c>
      <c r="F125" s="459">
        <v>121766</v>
      </c>
      <c r="G125" s="459">
        <v>43379.762132706579</v>
      </c>
      <c r="H125" s="459">
        <v>26027.857279623946</v>
      </c>
      <c r="I125" s="459">
        <v>188175.4641178647</v>
      </c>
      <c r="J125" s="459">
        <v>37431.982010582011</v>
      </c>
      <c r="K125" s="459">
        <v>4600.8151526468118</v>
      </c>
      <c r="L125" s="459">
        <v>231131.11</v>
      </c>
      <c r="M125" s="459">
        <v>73755.58</v>
      </c>
      <c r="N125" s="459">
        <v>167467.04999999999</v>
      </c>
      <c r="O125" s="473">
        <f>SUM(Taulukko8[[#This Row],[Muiden kuin pakolaisten osuus kotoutumiskoulutuksista,  €]:[Palkkatuki, yksityinen, €]])</f>
        <v>728589.85856071743</v>
      </c>
      <c r="P125" s="459">
        <f>Taulukko8[[#This Row],[Palvelut yhteensä, €]]/Taulukko8[[#This Row],[Työttömät 2022]]</f>
        <v>1853.9182151672198</v>
      </c>
      <c r="Q125" s="473">
        <v>376957.35928834602</v>
      </c>
      <c r="R125" s="459">
        <f>Taulukko8[[#This Row],[Toimintamenot, arvio]]/Taulukko8[[#This Row],[Työttömät 2022]]</f>
        <v>959.17903126805606</v>
      </c>
      <c r="S125" s="473">
        <f>Taulukko8[[#This Row],[Palvelut yhteensä, €]]+Taulukko8[[#This Row],[Toimintamenot, arvio]]</f>
        <v>1105547.2178490635</v>
      </c>
      <c r="T125" s="481">
        <f>(Taulukko8[[#This Row],[Palvelut + toimintamenot]]/$S$6)*$T$1</f>
        <v>1161750.8599145166</v>
      </c>
      <c r="U125" s="483">
        <f>Taulukko8[[#This Row],[Palvelut + toimintamenot, skaalattu siirtyvän rahoituksen tasoon]]*0.5</f>
        <v>580875.42995725828</v>
      </c>
    </row>
    <row r="126" spans="1:21">
      <c r="A126" s="465">
        <v>403</v>
      </c>
      <c r="B126" s="456" t="s">
        <v>131</v>
      </c>
      <c r="C126" s="459">
        <v>2820</v>
      </c>
      <c r="D126" s="459">
        <v>1055</v>
      </c>
      <c r="E126" s="459">
        <v>67</v>
      </c>
      <c r="F126" s="459">
        <v>22528</v>
      </c>
      <c r="G126" s="459">
        <v>9946.9741041236539</v>
      </c>
      <c r="H126" s="459">
        <v>5968.1844624741925</v>
      </c>
      <c r="I126" s="459">
        <v>16209.018563696223</v>
      </c>
      <c r="J126" s="459">
        <v>23467.009003984062</v>
      </c>
      <c r="K126" s="459">
        <v>888.45795417643865</v>
      </c>
      <c r="L126" s="459">
        <v>34260.449999999997</v>
      </c>
      <c r="M126" s="459">
        <v>15085.3</v>
      </c>
      <c r="N126" s="459">
        <v>43235.25</v>
      </c>
      <c r="O126" s="473">
        <f>SUM(Taulukko8[[#This Row],[Muiden kuin pakolaisten osuus kotoutumiskoulutuksista,  €]:[Palkkatuki, yksityinen, €]])</f>
        <v>139113.66998433092</v>
      </c>
      <c r="P126" s="459">
        <f>Taulukko8[[#This Row],[Palvelut yhteensä, €]]/Taulukko8[[#This Row],[Työttömät 2022]]</f>
        <v>2076.3234326019542</v>
      </c>
      <c r="Q126" s="473">
        <v>79613.999490720147</v>
      </c>
      <c r="R126" s="459">
        <f>Taulukko8[[#This Row],[Toimintamenot, arvio]]/Taulukko8[[#This Row],[Työttömät 2022]]</f>
        <v>1188.268649115226</v>
      </c>
      <c r="S126" s="473">
        <f>Taulukko8[[#This Row],[Palvelut yhteensä, €]]+Taulukko8[[#This Row],[Toimintamenot, arvio]]</f>
        <v>218727.66947505105</v>
      </c>
      <c r="T126" s="481">
        <f>(Taulukko8[[#This Row],[Palvelut + toimintamenot]]/$S$6)*$T$1</f>
        <v>229847.3136173466</v>
      </c>
      <c r="U126" s="483">
        <f>Taulukko8[[#This Row],[Palvelut + toimintamenot, skaalattu siirtyvän rahoituksen tasoon]]*0.5</f>
        <v>114923.6568086733</v>
      </c>
    </row>
    <row r="127" spans="1:21">
      <c r="A127" s="465">
        <v>405</v>
      </c>
      <c r="B127" s="456" t="s">
        <v>132</v>
      </c>
      <c r="C127" s="459">
        <v>72650</v>
      </c>
      <c r="D127" s="459">
        <v>33075</v>
      </c>
      <c r="E127" s="459">
        <v>3364</v>
      </c>
      <c r="F127" s="459">
        <v>1158180</v>
      </c>
      <c r="G127" s="459">
        <v>735674.15782770456</v>
      </c>
      <c r="H127" s="459">
        <v>441404.49469662271</v>
      </c>
      <c r="I127" s="459">
        <v>951281.78952150815</v>
      </c>
      <c r="J127" s="459">
        <v>887434.06037735846</v>
      </c>
      <c r="K127" s="459">
        <v>33517.592989063523</v>
      </c>
      <c r="L127" s="459">
        <v>1161251.77</v>
      </c>
      <c r="M127" s="459">
        <v>443737.1</v>
      </c>
      <c r="N127" s="459">
        <v>2105270.81</v>
      </c>
      <c r="O127" s="473">
        <f>SUM(Taulukko8[[#This Row],[Muiden kuin pakolaisten osuus kotoutumiskoulutuksista,  €]:[Palkkatuki, yksityinen, €]])</f>
        <v>6023897.6175845526</v>
      </c>
      <c r="P127" s="459">
        <f>Taulukko8[[#This Row],[Palvelut yhteensä, €]]/Taulukko8[[#This Row],[Työttömät 2022]]</f>
        <v>1790.6948922665138</v>
      </c>
      <c r="Q127" s="473">
        <v>3697490.5636551548</v>
      </c>
      <c r="R127" s="459">
        <f>Taulukko8[[#This Row],[Toimintamenot, arvio]]/Taulukko8[[#This Row],[Työttömät 2022]]</f>
        <v>1099.1351259379176</v>
      </c>
      <c r="S127" s="473">
        <f>Taulukko8[[#This Row],[Palvelut yhteensä, €]]+Taulukko8[[#This Row],[Toimintamenot, arvio]]</f>
        <v>9721388.1812397074</v>
      </c>
      <c r="T127" s="481">
        <f>(Taulukko8[[#This Row],[Palvelut + toimintamenot]]/$S$6)*$T$1</f>
        <v>10215602.641641269</v>
      </c>
      <c r="U127" s="483">
        <f>Taulukko8[[#This Row],[Palvelut + toimintamenot, skaalattu siirtyvän rahoituksen tasoon]]*0.5</f>
        <v>5107801.3208206343</v>
      </c>
    </row>
    <row r="128" spans="1:21">
      <c r="A128" s="465">
        <v>407</v>
      </c>
      <c r="B128" s="456" t="s">
        <v>133</v>
      </c>
      <c r="C128" s="459">
        <v>2518</v>
      </c>
      <c r="D128" s="459">
        <v>1162</v>
      </c>
      <c r="E128" s="459">
        <v>115</v>
      </c>
      <c r="F128" s="459">
        <v>32580</v>
      </c>
      <c r="G128" s="459">
        <v>18906.256734417697</v>
      </c>
      <c r="H128" s="459">
        <v>11343.754040650618</v>
      </c>
      <c r="I128" s="459">
        <v>9953.011086066901</v>
      </c>
      <c r="J128" s="459">
        <v>17342.570878775994</v>
      </c>
      <c r="K128" s="459">
        <v>3060.1493848878536</v>
      </c>
      <c r="L128" s="459">
        <v>29577.13</v>
      </c>
      <c r="M128" s="459">
        <v>26704.800000000003</v>
      </c>
      <c r="N128" s="459">
        <v>28762.5</v>
      </c>
      <c r="O128" s="473">
        <f>SUM(Taulukko8[[#This Row],[Muiden kuin pakolaisten osuus kotoutumiskoulutuksista,  €]:[Palkkatuki, yksityinen, €]])</f>
        <v>126743.91539038137</v>
      </c>
      <c r="P128" s="459">
        <f>Taulukko8[[#This Row],[Palvelut yhteensä, €]]/Taulukko8[[#This Row],[Työttömät 2022]]</f>
        <v>1102.1210033946206</v>
      </c>
      <c r="Q128" s="473">
        <v>97276.550299815848</v>
      </c>
      <c r="R128" s="459">
        <f>Taulukko8[[#This Row],[Toimintamenot, arvio]]/Taulukko8[[#This Row],[Työttömät 2022]]</f>
        <v>845.8830460853552</v>
      </c>
      <c r="S128" s="473">
        <f>Taulukko8[[#This Row],[Palvelut yhteensä, €]]+Taulukko8[[#This Row],[Toimintamenot, arvio]]</f>
        <v>224020.46569019722</v>
      </c>
      <c r="T128" s="481">
        <f>(Taulukko8[[#This Row],[Palvelut + toimintamenot]]/$S$6)*$T$1</f>
        <v>235409.18420507381</v>
      </c>
      <c r="U128" s="483">
        <f>Taulukko8[[#This Row],[Palvelut + toimintamenot, skaalattu siirtyvän rahoituksen tasoon]]*0.5</f>
        <v>117704.5921025369</v>
      </c>
    </row>
    <row r="129" spans="1:21">
      <c r="A129" s="465">
        <v>408</v>
      </c>
      <c r="B129" s="456" t="s">
        <v>134</v>
      </c>
      <c r="C129" s="459">
        <v>14099</v>
      </c>
      <c r="D129" s="459">
        <v>6235</v>
      </c>
      <c r="E129" s="459">
        <v>343</v>
      </c>
      <c r="F129" s="459">
        <v>124984</v>
      </c>
      <c r="G129" s="459">
        <v>87703.198503431733</v>
      </c>
      <c r="H129" s="459">
        <v>52621.919102059037</v>
      </c>
      <c r="I129" s="459">
        <v>142916.10270185818</v>
      </c>
      <c r="J129" s="459">
        <v>39111.681673306768</v>
      </c>
      <c r="K129" s="459">
        <v>4548.3743027241562</v>
      </c>
      <c r="L129" s="459">
        <v>112372.79000000001</v>
      </c>
      <c r="M129" s="459">
        <v>96079.44</v>
      </c>
      <c r="N129" s="459">
        <v>347346.77</v>
      </c>
      <c r="O129" s="473">
        <f>SUM(Taulukko8[[#This Row],[Muiden kuin pakolaisten osuus kotoutumiskoulutuksista,  €]:[Palkkatuki, yksityinen, €]])</f>
        <v>794997.07777994825</v>
      </c>
      <c r="P129" s="459">
        <f>Taulukko8[[#This Row],[Palvelut yhteensä, €]]/Taulukko8[[#This Row],[Työttömät 2022]]</f>
        <v>2317.7757369677793</v>
      </c>
      <c r="Q129" s="473">
        <v>441693.71947568207</v>
      </c>
      <c r="R129" s="459">
        <f>Taulukko8[[#This Row],[Toimintamenot, arvio]]/Taulukko8[[#This Row],[Työttömät 2022]]</f>
        <v>1287.7367914742917</v>
      </c>
      <c r="S129" s="473">
        <f>Taulukko8[[#This Row],[Palvelut yhteensä, €]]+Taulukko8[[#This Row],[Toimintamenot, arvio]]</f>
        <v>1236690.7972556304</v>
      </c>
      <c r="T129" s="481">
        <f>(Taulukko8[[#This Row],[Palvelut + toimintamenot]]/$S$6)*$T$1</f>
        <v>1299561.4967539529</v>
      </c>
      <c r="U129" s="483">
        <f>Taulukko8[[#This Row],[Palvelut + toimintamenot, skaalattu siirtyvän rahoituksen tasoon]]*0.5</f>
        <v>649780.74837697647</v>
      </c>
    </row>
    <row r="130" spans="1:21">
      <c r="A130" s="465">
        <v>410</v>
      </c>
      <c r="B130" s="456" t="s">
        <v>135</v>
      </c>
      <c r="C130" s="459">
        <v>18775</v>
      </c>
      <c r="D130" s="459">
        <v>8460</v>
      </c>
      <c r="E130" s="459">
        <v>737</v>
      </c>
      <c r="F130" s="459">
        <v>234193</v>
      </c>
      <c r="G130" s="459">
        <v>65516.565085328883</v>
      </c>
      <c r="H130" s="459">
        <v>39309.939051197325</v>
      </c>
      <c r="I130" s="459">
        <v>227089.77506965972</v>
      </c>
      <c r="J130" s="459">
        <v>31658.566277533038</v>
      </c>
      <c r="K130" s="459">
        <v>8908.9951380368111</v>
      </c>
      <c r="L130" s="459">
        <v>477250.13</v>
      </c>
      <c r="M130" s="459">
        <v>80927.14</v>
      </c>
      <c r="N130" s="459">
        <v>341964.52</v>
      </c>
      <c r="O130" s="473">
        <f>SUM(Taulukko8[[#This Row],[Muiden kuin pakolaisten osuus kotoutumiskoulutuksista,  €]:[Palkkatuki, yksityinen, €]])</f>
        <v>1207109.0655364268</v>
      </c>
      <c r="P130" s="459">
        <f>Taulukko8[[#This Row],[Palvelut yhteensä, €]]/Taulukko8[[#This Row],[Työttömät 2022]]</f>
        <v>1637.8684742692358</v>
      </c>
      <c r="Q130" s="473">
        <v>675999.38636923139</v>
      </c>
      <c r="R130" s="459">
        <f>Taulukko8[[#This Row],[Toimintamenot, arvio]]/Taulukko8[[#This Row],[Työttömät 2022]]</f>
        <v>917.23118910343476</v>
      </c>
      <c r="S130" s="473">
        <f>Taulukko8[[#This Row],[Palvelut yhteensä, €]]+Taulukko8[[#This Row],[Toimintamenot, arvio]]</f>
        <v>1883108.4519056582</v>
      </c>
      <c r="T130" s="481">
        <f>(Taulukko8[[#This Row],[Palvelut + toimintamenot]]/$S$6)*$T$1</f>
        <v>1978841.6342542612</v>
      </c>
      <c r="U130" s="483">
        <f>Taulukko8[[#This Row],[Palvelut + toimintamenot, skaalattu siirtyvän rahoituksen tasoon]]*0.5</f>
        <v>989420.81712713058</v>
      </c>
    </row>
    <row r="131" spans="1:21">
      <c r="A131" s="465">
        <v>416</v>
      </c>
      <c r="B131" s="456" t="s">
        <v>136</v>
      </c>
      <c r="C131" s="459">
        <v>2886</v>
      </c>
      <c r="D131" s="459">
        <v>1311</v>
      </c>
      <c r="E131" s="459">
        <v>103</v>
      </c>
      <c r="F131" s="459">
        <v>33035</v>
      </c>
      <c r="G131" s="459">
        <v>18742.330501313692</v>
      </c>
      <c r="H131" s="459">
        <v>11245.398300788214</v>
      </c>
      <c r="I131" s="459">
        <v>24235.237175843351</v>
      </c>
      <c r="J131" s="459">
        <v>16639.388632075472</v>
      </c>
      <c r="K131" s="459">
        <v>1026.2521040052147</v>
      </c>
      <c r="L131" s="459">
        <v>65131.539999999994</v>
      </c>
      <c r="M131" s="459">
        <v>6705.22</v>
      </c>
      <c r="N131" s="459">
        <v>0</v>
      </c>
      <c r="O131" s="473">
        <f>SUM(Taulukko8[[#This Row],[Muiden kuin pakolaisten osuus kotoutumiskoulutuksista,  €]:[Palkkatuki, yksityinen, €]])</f>
        <v>124983.03621271224</v>
      </c>
      <c r="P131" s="459">
        <f>Taulukko8[[#This Row],[Palvelut yhteensä, €]]/Taulukko8[[#This Row],[Työttömät 2022]]</f>
        <v>1213.4275360457498</v>
      </c>
      <c r="Q131" s="473">
        <v>105464.2635603689</v>
      </c>
      <c r="R131" s="459">
        <f>Taulukko8[[#This Row],[Toimintamenot, arvio]]/Taulukko8[[#This Row],[Työttömät 2022]]</f>
        <v>1023.9248889356204</v>
      </c>
      <c r="S131" s="473">
        <f>Taulukko8[[#This Row],[Palvelut yhteensä, €]]+Taulukko8[[#This Row],[Toimintamenot, arvio]]</f>
        <v>230447.29977308115</v>
      </c>
      <c r="T131" s="481">
        <f>(Taulukko8[[#This Row],[Palvelut + toimintamenot]]/$S$6)*$T$1</f>
        <v>242162.74470594942</v>
      </c>
      <c r="U131" s="483">
        <f>Taulukko8[[#This Row],[Palvelut + toimintamenot, skaalattu siirtyvän rahoituksen tasoon]]*0.5</f>
        <v>121081.37235297471</v>
      </c>
    </row>
    <row r="132" spans="1:21">
      <c r="A132" s="465">
        <v>418</v>
      </c>
      <c r="B132" s="456" t="s">
        <v>137</v>
      </c>
      <c r="C132" s="459">
        <v>24580</v>
      </c>
      <c r="D132" s="459">
        <v>11791</v>
      </c>
      <c r="E132" s="459">
        <v>693</v>
      </c>
      <c r="F132" s="459">
        <v>256177</v>
      </c>
      <c r="G132" s="459">
        <v>96365.330071048462</v>
      </c>
      <c r="H132" s="459">
        <v>57819.198042629076</v>
      </c>
      <c r="I132" s="459">
        <v>140304.88821055659</v>
      </c>
      <c r="J132" s="459">
        <v>62563.261132075473</v>
      </c>
      <c r="K132" s="459">
        <v>6082.0058712583268</v>
      </c>
      <c r="L132" s="459">
        <v>71327.839999999997</v>
      </c>
      <c r="M132" s="459">
        <v>238133.56</v>
      </c>
      <c r="N132" s="459">
        <v>356134.17</v>
      </c>
      <c r="O132" s="473">
        <f>SUM(Taulukko8[[#This Row],[Muiden kuin pakolaisten osuus kotoutumiskoulutuksista,  €]:[Palkkatuki, yksityinen, €]])</f>
        <v>932364.92325651948</v>
      </c>
      <c r="P132" s="459">
        <f>Taulukko8[[#This Row],[Palvelut yhteensä, €]]/Taulukko8[[#This Row],[Työttömät 2022]]</f>
        <v>1345.4039296630872</v>
      </c>
      <c r="Q132" s="473">
        <v>702493.53376040782</v>
      </c>
      <c r="R132" s="459">
        <f>Taulukko8[[#This Row],[Toimintamenot, arvio]]/Taulukko8[[#This Row],[Työttömät 2022]]</f>
        <v>1013.6991829154514</v>
      </c>
      <c r="S132" s="473">
        <f>Taulukko8[[#This Row],[Palvelut yhteensä, €]]+Taulukko8[[#This Row],[Toimintamenot, arvio]]</f>
        <v>1634858.4570169272</v>
      </c>
      <c r="T132" s="481">
        <f>(Taulukko8[[#This Row],[Palvelut + toimintamenot]]/$S$6)*$T$1</f>
        <v>1717971.1437139534</v>
      </c>
      <c r="U132" s="483">
        <f>Taulukko8[[#This Row],[Palvelut + toimintamenot, skaalattu siirtyvän rahoituksen tasoon]]*0.5</f>
        <v>858985.57185697672</v>
      </c>
    </row>
    <row r="133" spans="1:21">
      <c r="A133" s="465">
        <v>420</v>
      </c>
      <c r="B133" s="456" t="s">
        <v>138</v>
      </c>
      <c r="C133" s="459">
        <v>9177</v>
      </c>
      <c r="D133" s="459">
        <v>3971</v>
      </c>
      <c r="E133" s="459">
        <v>321</v>
      </c>
      <c r="F133" s="459">
        <v>109896</v>
      </c>
      <c r="G133" s="459">
        <v>28857.205626645777</v>
      </c>
      <c r="H133" s="459">
        <v>17314.323375987464</v>
      </c>
      <c r="I133" s="459">
        <v>125178.60391503994</v>
      </c>
      <c r="J133" s="459">
        <v>44918.378412698417</v>
      </c>
      <c r="K133" s="459">
        <v>3757.917720100831</v>
      </c>
      <c r="L133" s="459">
        <v>74746.290000000008</v>
      </c>
      <c r="M133" s="459">
        <v>53753.34</v>
      </c>
      <c r="N133" s="459">
        <v>112376.84</v>
      </c>
      <c r="O133" s="473">
        <f>SUM(Taulukko8[[#This Row],[Muiden kuin pakolaisten osuus kotoutumiskoulutuksista,  €]:[Palkkatuki, yksityinen, €]])</f>
        <v>432045.6934238266</v>
      </c>
      <c r="P133" s="459">
        <f>Taulukko8[[#This Row],[Palvelut yhteensä, €]]/Taulukko8[[#This Row],[Työttömät 2022]]</f>
        <v>1345.9367396380892</v>
      </c>
      <c r="Q133" s="473">
        <v>340210.78097623377</v>
      </c>
      <c r="R133" s="459">
        <f>Taulukko8[[#This Row],[Toimintamenot, arvio]]/Taulukko8[[#This Row],[Työttömät 2022]]</f>
        <v>1059.8466697078934</v>
      </c>
      <c r="S133" s="473">
        <f>Taulukko8[[#This Row],[Palvelut yhteensä, €]]+Taulukko8[[#This Row],[Toimintamenot, arvio]]</f>
        <v>772256.47440006037</v>
      </c>
      <c r="T133" s="481">
        <f>(Taulukko8[[#This Row],[Palvelut + toimintamenot]]/$S$6)*$T$1</f>
        <v>811516.33211500733</v>
      </c>
      <c r="U133" s="483">
        <f>Taulukko8[[#This Row],[Palvelut + toimintamenot, skaalattu siirtyvän rahoituksen tasoon]]*0.5</f>
        <v>405758.16605750367</v>
      </c>
    </row>
    <row r="134" spans="1:21">
      <c r="A134" s="465">
        <v>421</v>
      </c>
      <c r="B134" s="456" t="s">
        <v>139</v>
      </c>
      <c r="C134" s="459">
        <v>695</v>
      </c>
      <c r="D134" s="459">
        <v>270</v>
      </c>
      <c r="E134" s="459">
        <v>24</v>
      </c>
      <c r="F134" s="459">
        <v>6361</v>
      </c>
      <c r="G134" s="459">
        <v>3943.5086615625864</v>
      </c>
      <c r="H134" s="459">
        <v>2366.1051969375517</v>
      </c>
      <c r="I134" s="459">
        <v>10528.9412194447</v>
      </c>
      <c r="J134" s="459">
        <v>0</v>
      </c>
      <c r="K134" s="459">
        <v>1043.9933471686927</v>
      </c>
      <c r="L134" s="459">
        <v>24523.02</v>
      </c>
      <c r="M134" s="459">
        <v>0</v>
      </c>
      <c r="N134" s="459">
        <v>1310.79</v>
      </c>
      <c r="O134" s="473">
        <f>SUM(Taulukko8[[#This Row],[Muiden kuin pakolaisten osuus kotoutumiskoulutuksista,  €]:[Palkkatuki, yksityinen, €]])</f>
        <v>39772.849763550948</v>
      </c>
      <c r="P134" s="459">
        <f>Taulukko8[[#This Row],[Palvelut yhteensä, €]]/Taulukko8[[#This Row],[Työttömät 2022]]</f>
        <v>1657.2020734812895</v>
      </c>
      <c r="Q134" s="473">
        <v>20392.495175146862</v>
      </c>
      <c r="R134" s="459">
        <f>Taulukko8[[#This Row],[Toimintamenot, arvio]]/Taulukko8[[#This Row],[Työttömät 2022]]</f>
        <v>849.68729896445257</v>
      </c>
      <c r="S134" s="473">
        <f>Taulukko8[[#This Row],[Palvelut yhteensä, €]]+Taulukko8[[#This Row],[Toimintamenot, arvio]]</f>
        <v>60165.34493869781</v>
      </c>
      <c r="T134" s="481">
        <f>(Taulukko8[[#This Row],[Palvelut + toimintamenot]]/$S$6)*$T$1</f>
        <v>63224.021634803205</v>
      </c>
      <c r="U134" s="483">
        <f>Taulukko8[[#This Row],[Palvelut + toimintamenot, skaalattu siirtyvän rahoituksen tasoon]]*0.5</f>
        <v>31612.010817401602</v>
      </c>
    </row>
    <row r="135" spans="1:21">
      <c r="A135" s="465">
        <v>422</v>
      </c>
      <c r="B135" s="456" t="s">
        <v>140</v>
      </c>
      <c r="C135" s="459">
        <v>10372</v>
      </c>
      <c r="D135" s="459">
        <v>3943</v>
      </c>
      <c r="E135" s="459">
        <v>567</v>
      </c>
      <c r="F135" s="459">
        <v>207614</v>
      </c>
      <c r="G135" s="459">
        <v>89957.558815528158</v>
      </c>
      <c r="H135" s="459">
        <v>53974.535289316897</v>
      </c>
      <c r="I135" s="459">
        <v>164216.52370854723</v>
      </c>
      <c r="J135" s="459">
        <v>25053.784742268042</v>
      </c>
      <c r="K135" s="459">
        <v>4658.6480343007916</v>
      </c>
      <c r="L135" s="459">
        <v>234022.88</v>
      </c>
      <c r="M135" s="459">
        <v>76172.899999999994</v>
      </c>
      <c r="N135" s="459">
        <v>796138.79</v>
      </c>
      <c r="O135" s="473">
        <f>SUM(Taulukko8[[#This Row],[Muiden kuin pakolaisten osuus kotoutumiskoulutuksista,  €]:[Palkkatuki, yksityinen, €]])</f>
        <v>1354238.0617744331</v>
      </c>
      <c r="P135" s="459">
        <f>Taulukko8[[#This Row],[Palvelut yhteensä, €]]/Taulukko8[[#This Row],[Työttömät 2022]]</f>
        <v>2388.4269167097586</v>
      </c>
      <c r="Q135" s="473">
        <v>549374.24779099482</v>
      </c>
      <c r="R135" s="459">
        <f>Taulukko8[[#This Row],[Toimintamenot, arvio]]/Taulukko8[[#This Row],[Työttömät 2022]]</f>
        <v>968.91401726806851</v>
      </c>
      <c r="S135" s="473">
        <f>Taulukko8[[#This Row],[Palvelut yhteensä, €]]+Taulukko8[[#This Row],[Toimintamenot, arvio]]</f>
        <v>1903612.3095654279</v>
      </c>
      <c r="T135" s="481">
        <f>(Taulukko8[[#This Row],[Palvelut + toimintamenot]]/$S$6)*$T$1</f>
        <v>2000387.8639251627</v>
      </c>
      <c r="U135" s="483">
        <f>Taulukko8[[#This Row],[Palvelut + toimintamenot, skaalattu siirtyvän rahoituksen tasoon]]*0.5</f>
        <v>1000193.9319625814</v>
      </c>
    </row>
    <row r="136" spans="1:21">
      <c r="A136" s="465">
        <v>423</v>
      </c>
      <c r="B136" s="456" t="s">
        <v>141</v>
      </c>
      <c r="C136" s="459">
        <v>20497</v>
      </c>
      <c r="D136" s="459">
        <v>10002</v>
      </c>
      <c r="E136" s="459">
        <v>473</v>
      </c>
      <c r="F136" s="459">
        <v>143579</v>
      </c>
      <c r="G136" s="459">
        <v>186486.58856278236</v>
      </c>
      <c r="H136" s="459">
        <v>111891.95313766941</v>
      </c>
      <c r="I136" s="459">
        <v>119307.62705651691</v>
      </c>
      <c r="J136" s="459">
        <v>47425.957213930349</v>
      </c>
      <c r="K136" s="459">
        <v>4448.2690476190473</v>
      </c>
      <c r="L136" s="459">
        <v>309556.58</v>
      </c>
      <c r="M136" s="459">
        <v>149356.06</v>
      </c>
      <c r="N136" s="459">
        <v>373617.75</v>
      </c>
      <c r="O136" s="473">
        <f>SUM(Taulukko8[[#This Row],[Muiden kuin pakolaisten osuus kotoutumiskoulutuksista,  €]:[Palkkatuki, yksityinen, €]])</f>
        <v>1115604.1964557357</v>
      </c>
      <c r="P136" s="459">
        <f>Taulukko8[[#This Row],[Palvelut yhteensä, €]]/Taulukko8[[#This Row],[Työttömät 2022]]</f>
        <v>2358.5712398641349</v>
      </c>
      <c r="Q136" s="473">
        <v>403001.17340863589</v>
      </c>
      <c r="R136" s="459">
        <f>Taulukko8[[#This Row],[Toimintamenot, arvio]]/Taulukko8[[#This Row],[Työttömät 2022]]</f>
        <v>852.0109374389765</v>
      </c>
      <c r="S136" s="473">
        <f>Taulukko8[[#This Row],[Palvelut yhteensä, €]]+Taulukko8[[#This Row],[Toimintamenot, arvio]]</f>
        <v>1518605.3698643716</v>
      </c>
      <c r="T136" s="481">
        <f>(Taulukko8[[#This Row],[Palvelut + toimintamenot]]/$S$6)*$T$1</f>
        <v>1595807.9997191054</v>
      </c>
      <c r="U136" s="483">
        <f>Taulukko8[[#This Row],[Palvelut + toimintamenot, skaalattu siirtyvän rahoituksen tasoon]]*0.5</f>
        <v>797903.99985955271</v>
      </c>
    </row>
    <row r="137" spans="1:21">
      <c r="A137" s="465">
        <v>425</v>
      </c>
      <c r="B137" s="456" t="s">
        <v>142</v>
      </c>
      <c r="C137" s="459">
        <v>10258</v>
      </c>
      <c r="D137" s="459">
        <v>4466</v>
      </c>
      <c r="E137" s="459">
        <v>228</v>
      </c>
      <c r="F137" s="459">
        <v>80537</v>
      </c>
      <c r="G137" s="459">
        <v>36316.924238076776</v>
      </c>
      <c r="H137" s="459">
        <v>21790.154542846063</v>
      </c>
      <c r="I137" s="459">
        <v>99991.806754556033</v>
      </c>
      <c r="J137" s="459">
        <v>3222.3532947976878</v>
      </c>
      <c r="K137" s="459">
        <v>2641.3662900208456</v>
      </c>
      <c r="L137" s="459">
        <v>237386.41999999998</v>
      </c>
      <c r="M137" s="459">
        <v>105252.42</v>
      </c>
      <c r="N137" s="459">
        <v>197020.63</v>
      </c>
      <c r="O137" s="473">
        <f>SUM(Taulukko8[[#This Row],[Muiden kuin pakolaisten osuus kotoutumiskoulutuksista,  €]:[Palkkatuki, yksityinen, €]])</f>
        <v>667305.15088222059</v>
      </c>
      <c r="P137" s="459">
        <f>Taulukko8[[#This Row],[Palvelut yhteensä, €]]/Taulukko8[[#This Row],[Työttömät 2022]]</f>
        <v>2926.776977553599</v>
      </c>
      <c r="Q137" s="473">
        <v>228289.24538969548</v>
      </c>
      <c r="R137" s="459">
        <f>Taulukko8[[#This Row],[Toimintamenot, arvio]]/Taulukko8[[#This Row],[Työttömät 2022]]</f>
        <v>1001.2686201302433</v>
      </c>
      <c r="S137" s="473">
        <f>Taulukko8[[#This Row],[Palvelut yhteensä, €]]+Taulukko8[[#This Row],[Toimintamenot, arvio]]</f>
        <v>895594.39627191611</v>
      </c>
      <c r="T137" s="481">
        <f>(Taulukko8[[#This Row],[Palvelut + toimintamenot]]/$S$6)*$T$1</f>
        <v>941124.48858387058</v>
      </c>
      <c r="U137" s="483">
        <f>Taulukko8[[#This Row],[Palvelut + toimintamenot, skaalattu siirtyvän rahoituksen tasoon]]*0.5</f>
        <v>470562.24429193529</v>
      </c>
    </row>
    <row r="138" spans="1:21">
      <c r="A138" s="465">
        <v>426</v>
      </c>
      <c r="B138" s="456" t="s">
        <v>143</v>
      </c>
      <c r="C138" s="459">
        <v>11962</v>
      </c>
      <c r="D138" s="459">
        <v>5543</v>
      </c>
      <c r="E138" s="459">
        <v>546</v>
      </c>
      <c r="F138" s="459">
        <v>189533</v>
      </c>
      <c r="G138" s="459">
        <v>119615.95314160454</v>
      </c>
      <c r="H138" s="459">
        <v>71769.571884962716</v>
      </c>
      <c r="I138" s="459">
        <v>218357.59288754826</v>
      </c>
      <c r="J138" s="459">
        <v>18790.338556701034</v>
      </c>
      <c r="K138" s="459">
        <v>4486.1055145118735</v>
      </c>
      <c r="L138" s="459">
        <v>334841.78999999998</v>
      </c>
      <c r="M138" s="459">
        <v>138769.97999999998</v>
      </c>
      <c r="N138" s="459">
        <v>381121.73</v>
      </c>
      <c r="O138" s="473">
        <f>SUM(Taulukko8[[#This Row],[Muiden kuin pakolaisten osuus kotoutumiskoulutuksista,  €]:[Palkkatuki, yksityinen, €]])</f>
        <v>1168137.1088437238</v>
      </c>
      <c r="P138" s="459">
        <f>Taulukko8[[#This Row],[Palvelut yhteensä, €]]/Taulukko8[[#This Row],[Työttömät 2022]]</f>
        <v>2139.4452542925342</v>
      </c>
      <c r="Q138" s="473">
        <v>501529.51779056626</v>
      </c>
      <c r="R138" s="459">
        <f>Taulukko8[[#This Row],[Toimintamenot, arvio]]/Taulukko8[[#This Row],[Työttömät 2022]]</f>
        <v>918.55223038565248</v>
      </c>
      <c r="S138" s="473">
        <f>Taulukko8[[#This Row],[Palvelut yhteensä, €]]+Taulukko8[[#This Row],[Toimintamenot, arvio]]</f>
        <v>1669666.62663429</v>
      </c>
      <c r="T138" s="481">
        <f>(Taulukko8[[#This Row],[Palvelut + toimintamenot]]/$S$6)*$T$1</f>
        <v>1754548.8857878721</v>
      </c>
      <c r="U138" s="483">
        <f>Taulukko8[[#This Row],[Palvelut + toimintamenot, skaalattu siirtyvän rahoituksen tasoon]]*0.5</f>
        <v>877274.44289393607</v>
      </c>
    </row>
    <row r="139" spans="1:21">
      <c r="A139" s="465">
        <v>430</v>
      </c>
      <c r="B139" s="456" t="s">
        <v>144</v>
      </c>
      <c r="C139" s="459">
        <v>15392</v>
      </c>
      <c r="D139" s="459">
        <v>6626</v>
      </c>
      <c r="E139" s="459">
        <v>546</v>
      </c>
      <c r="F139" s="459">
        <v>204041</v>
      </c>
      <c r="G139" s="459">
        <v>50631.04252379734</v>
      </c>
      <c r="H139" s="459">
        <v>30378.625514278403</v>
      </c>
      <c r="I139" s="459">
        <v>32391.978347966924</v>
      </c>
      <c r="J139" s="459">
        <v>34146.689194029852</v>
      </c>
      <c r="K139" s="459">
        <v>5134.788372093024</v>
      </c>
      <c r="L139" s="459">
        <v>139432.07999999999</v>
      </c>
      <c r="M139" s="459">
        <v>78213.739999999991</v>
      </c>
      <c r="N139" s="459">
        <v>407332.06999999995</v>
      </c>
      <c r="O139" s="473">
        <f>SUM(Taulukko8[[#This Row],[Muiden kuin pakolaisten osuus kotoutumiskoulutuksista,  €]:[Palkkatuki, yksityinen, €]])</f>
        <v>727029.97142836812</v>
      </c>
      <c r="P139" s="459">
        <f>Taulukko8[[#This Row],[Palvelut yhteensä, €]]/Taulukko8[[#This Row],[Työttömät 2022]]</f>
        <v>1331.5567242277805</v>
      </c>
      <c r="Q139" s="473">
        <v>572707.44623845734</v>
      </c>
      <c r="R139" s="459">
        <f>Taulukko8[[#This Row],[Toimintamenot, arvio]]/Taulukko8[[#This Row],[Työttömät 2022]]</f>
        <v>1048.9147367004714</v>
      </c>
      <c r="S139" s="473">
        <f>Taulukko8[[#This Row],[Palvelut yhteensä, €]]+Taulukko8[[#This Row],[Toimintamenot, arvio]]</f>
        <v>1299737.4176668255</v>
      </c>
      <c r="T139" s="481">
        <f>(Taulukko8[[#This Row],[Palvelut + toimintamenot]]/$S$6)*$T$1</f>
        <v>1365813.2717074584</v>
      </c>
      <c r="U139" s="483">
        <f>Taulukko8[[#This Row],[Palvelut + toimintamenot, skaalattu siirtyvän rahoituksen tasoon]]*0.5</f>
        <v>682906.63585372921</v>
      </c>
    </row>
    <row r="140" spans="1:21">
      <c r="A140" s="465">
        <v>433</v>
      </c>
      <c r="B140" s="456" t="s">
        <v>145</v>
      </c>
      <c r="C140" s="459">
        <v>7749</v>
      </c>
      <c r="D140" s="459">
        <v>3547</v>
      </c>
      <c r="E140" s="459">
        <v>204</v>
      </c>
      <c r="F140" s="459">
        <v>56107</v>
      </c>
      <c r="G140" s="459">
        <v>44004.292249214064</v>
      </c>
      <c r="H140" s="459">
        <v>26402.575349528437</v>
      </c>
      <c r="I140" s="459">
        <v>21339.576979136898</v>
      </c>
      <c r="J140" s="459">
        <v>17052.83798816568</v>
      </c>
      <c r="K140" s="459">
        <v>2774.7950814977971</v>
      </c>
      <c r="L140" s="459">
        <v>198730.36</v>
      </c>
      <c r="M140" s="459">
        <v>35718.06</v>
      </c>
      <c r="N140" s="459">
        <v>130152.66</v>
      </c>
      <c r="O140" s="473">
        <f>SUM(Taulukko8[[#This Row],[Muiden kuin pakolaisten osuus kotoutumiskoulutuksista,  €]:[Palkkatuki, yksityinen, €]])</f>
        <v>432170.86539832875</v>
      </c>
      <c r="P140" s="459">
        <f>Taulukko8[[#This Row],[Palvelut yhteensä, €]]/Taulukko8[[#This Row],[Työttömät 2022]]</f>
        <v>2118.4846343055333</v>
      </c>
      <c r="Q140" s="473">
        <v>164875.67818616328</v>
      </c>
      <c r="R140" s="459">
        <f>Taulukko8[[#This Row],[Toimintamenot, arvio]]/Taulukko8[[#This Row],[Työttömät 2022]]</f>
        <v>808.21410875570234</v>
      </c>
      <c r="S140" s="473">
        <f>Taulukko8[[#This Row],[Palvelut yhteensä, €]]+Taulukko8[[#This Row],[Toimintamenot, arvio]]</f>
        <v>597046.54358449206</v>
      </c>
      <c r="T140" s="481">
        <f>(Taulukko8[[#This Row],[Palvelut + toimintamenot]]/$S$6)*$T$1</f>
        <v>627399.10536591022</v>
      </c>
      <c r="U140" s="483">
        <f>Taulukko8[[#This Row],[Palvelut + toimintamenot, skaalattu siirtyvän rahoituksen tasoon]]*0.5</f>
        <v>313699.55268295511</v>
      </c>
    </row>
    <row r="141" spans="1:21">
      <c r="A141" s="465">
        <v>434</v>
      </c>
      <c r="B141" s="456" t="s">
        <v>146</v>
      </c>
      <c r="C141" s="459">
        <v>14568</v>
      </c>
      <c r="D141" s="459">
        <v>6716</v>
      </c>
      <c r="E141" s="459">
        <v>702</v>
      </c>
      <c r="F141" s="459">
        <v>198295</v>
      </c>
      <c r="G141" s="459">
        <v>169495.25268198241</v>
      </c>
      <c r="H141" s="459">
        <v>101697.15160918944</v>
      </c>
      <c r="I141" s="459">
        <v>89229.092393970393</v>
      </c>
      <c r="J141" s="459">
        <v>76802.813891722253</v>
      </c>
      <c r="K141" s="459">
        <v>18680.216245141506</v>
      </c>
      <c r="L141" s="459">
        <v>243603.36</v>
      </c>
      <c r="M141" s="459">
        <v>154302.07999999999</v>
      </c>
      <c r="N141" s="459">
        <v>358993.69</v>
      </c>
      <c r="O141" s="473">
        <f>SUM(Taulukko8[[#This Row],[Muiden kuin pakolaisten osuus kotoutumiskoulutuksista,  €]:[Palkkatuki, yksityinen, €]])</f>
        <v>1043308.4041400235</v>
      </c>
      <c r="P141" s="459">
        <f>Taulukko8[[#This Row],[Palvelut yhteensä, €]]/Taulukko8[[#This Row],[Työttömät 2022]]</f>
        <v>1486.1943078917714</v>
      </c>
      <c r="Q141" s="473">
        <v>592064.25849300134</v>
      </c>
      <c r="R141" s="459">
        <f>Taulukko8[[#This Row],[Toimintamenot, arvio]]/Taulukko8[[#This Row],[Työttömät 2022]]</f>
        <v>843.39637961966002</v>
      </c>
      <c r="S141" s="473">
        <f>Taulukko8[[#This Row],[Palvelut yhteensä, €]]+Taulukko8[[#This Row],[Toimintamenot, arvio]]</f>
        <v>1635372.6626330249</v>
      </c>
      <c r="T141" s="481">
        <f>(Taulukko8[[#This Row],[Palvelut + toimintamenot]]/$S$6)*$T$1</f>
        <v>1718511.4904373041</v>
      </c>
      <c r="U141" s="483">
        <f>Taulukko8[[#This Row],[Palvelut + toimintamenot, skaalattu siirtyvän rahoituksen tasoon]]*0.5</f>
        <v>859255.74521865207</v>
      </c>
    </row>
    <row r="142" spans="1:21">
      <c r="A142" s="465">
        <v>435</v>
      </c>
      <c r="B142" s="456" t="s">
        <v>147</v>
      </c>
      <c r="C142" s="459">
        <v>692</v>
      </c>
      <c r="D142" s="459">
        <v>279</v>
      </c>
      <c r="E142" s="459">
        <v>29</v>
      </c>
      <c r="F142" s="459">
        <v>8075</v>
      </c>
      <c r="G142" s="459">
        <v>946.42925367033411</v>
      </c>
      <c r="H142" s="459">
        <v>567.8575522022004</v>
      </c>
      <c r="I142" s="459">
        <v>3280.4590114793746</v>
      </c>
      <c r="J142" s="459">
        <v>0</v>
      </c>
      <c r="K142" s="459">
        <v>350.55747490239827</v>
      </c>
      <c r="L142" s="459">
        <v>1173.7</v>
      </c>
      <c r="M142" s="459">
        <v>0</v>
      </c>
      <c r="N142" s="459">
        <v>11843.060000000001</v>
      </c>
      <c r="O142" s="473">
        <f>SUM(Taulukko8[[#This Row],[Muiden kuin pakolaisten osuus kotoutumiskoulutuksista,  €]:[Palkkatuki, yksityinen, €]])</f>
        <v>17215.634038583972</v>
      </c>
      <c r="P142" s="459">
        <f>Taulukko8[[#This Row],[Palvelut yhteensä, €]]/Taulukko8[[#This Row],[Työttömät 2022]]</f>
        <v>593.64255305461973</v>
      </c>
      <c r="Q142" s="473">
        <v>23308.53204379099</v>
      </c>
      <c r="R142" s="459">
        <f>Taulukko8[[#This Row],[Toimintamenot, arvio]]/Taulukko8[[#This Row],[Työttömät 2022]]</f>
        <v>803.74248426865483</v>
      </c>
      <c r="S142" s="473">
        <f>Taulukko8[[#This Row],[Palvelut yhteensä, €]]+Taulukko8[[#This Row],[Toimintamenot, arvio]]</f>
        <v>40524.166082374963</v>
      </c>
      <c r="T142" s="481">
        <f>(Taulukko8[[#This Row],[Palvelut + toimintamenot]]/$S$6)*$T$1</f>
        <v>42584.327501736181</v>
      </c>
      <c r="U142" s="483">
        <f>Taulukko8[[#This Row],[Palvelut + toimintamenot, skaalattu siirtyvän rahoituksen tasoon]]*0.5</f>
        <v>21292.163750868091</v>
      </c>
    </row>
    <row r="143" spans="1:21">
      <c r="A143" s="465">
        <v>436</v>
      </c>
      <c r="B143" s="456" t="s">
        <v>148</v>
      </c>
      <c r="C143" s="459">
        <v>1988</v>
      </c>
      <c r="D143" s="459">
        <v>825</v>
      </c>
      <c r="E143" s="459">
        <v>50</v>
      </c>
      <c r="F143" s="459">
        <v>15992</v>
      </c>
      <c r="G143" s="459">
        <v>4475.2238201176169</v>
      </c>
      <c r="H143" s="459">
        <v>2685.1342920705702</v>
      </c>
      <c r="I143" s="459">
        <v>12321.685406811426</v>
      </c>
      <c r="J143" s="459">
        <v>0</v>
      </c>
      <c r="K143" s="459">
        <v>579.24699342562405</v>
      </c>
      <c r="L143" s="459">
        <v>15396.97</v>
      </c>
      <c r="M143" s="459">
        <v>13988.1</v>
      </c>
      <c r="N143" s="459">
        <v>8068.3600000000006</v>
      </c>
      <c r="O143" s="473">
        <f>SUM(Taulukko8[[#This Row],[Muiden kuin pakolaisten osuus kotoutumiskoulutuksista,  €]:[Palkkatuki, yksityinen, €]])</f>
        <v>53039.496692307621</v>
      </c>
      <c r="P143" s="459">
        <f>Taulukko8[[#This Row],[Palvelut yhteensä, €]]/Taulukko8[[#This Row],[Työttömät 2022]]</f>
        <v>1060.7899338461525</v>
      </c>
      <c r="Q143" s="473">
        <v>45330.737577411754</v>
      </c>
      <c r="R143" s="459">
        <f>Taulukko8[[#This Row],[Toimintamenot, arvio]]/Taulukko8[[#This Row],[Työttömät 2022]]</f>
        <v>906.61475154823506</v>
      </c>
      <c r="S143" s="473">
        <f>Taulukko8[[#This Row],[Palvelut yhteensä, €]]+Taulukko8[[#This Row],[Toimintamenot, arvio]]</f>
        <v>98370.234269719367</v>
      </c>
      <c r="T143" s="481">
        <f>(Taulukko8[[#This Row],[Palvelut + toimintamenot]]/$S$6)*$T$1</f>
        <v>103371.16534487213</v>
      </c>
      <c r="U143" s="483">
        <f>Taulukko8[[#This Row],[Palvelut + toimintamenot, skaalattu siirtyvän rahoituksen tasoon]]*0.5</f>
        <v>51685.582672436067</v>
      </c>
    </row>
    <row r="144" spans="1:21">
      <c r="A144" s="465">
        <v>440</v>
      </c>
      <c r="B144" s="456" t="s">
        <v>149</v>
      </c>
      <c r="C144" s="459">
        <v>5732</v>
      </c>
      <c r="D144" s="459">
        <v>2519</v>
      </c>
      <c r="E144" s="459">
        <v>50</v>
      </c>
      <c r="F144" s="459">
        <v>24182</v>
      </c>
      <c r="G144" s="459">
        <v>6830.7203602066238</v>
      </c>
      <c r="H144" s="459">
        <v>4098.4322161239743</v>
      </c>
      <c r="I144" s="459">
        <v>18237.630326538143</v>
      </c>
      <c r="J144" s="459">
        <v>5636.4468783068778</v>
      </c>
      <c r="K144" s="459">
        <v>2174.986139934776</v>
      </c>
      <c r="L144" s="459">
        <v>11141.94</v>
      </c>
      <c r="M144" s="459">
        <v>46449.560000000005</v>
      </c>
      <c r="N144" s="459">
        <v>9203.98</v>
      </c>
      <c r="O144" s="473">
        <f>SUM(Taulukko8[[#This Row],[Muiden kuin pakolaisten osuus kotoutumiskoulutuksista,  €]:[Palkkatuki, yksityinen, €]])</f>
        <v>96942.975560903767</v>
      </c>
      <c r="P144" s="459">
        <f>Taulukko8[[#This Row],[Palvelut yhteensä, €]]/Taulukko8[[#This Row],[Työttömät 2022]]</f>
        <v>1938.8595112180753</v>
      </c>
      <c r="Q144" s="473">
        <v>77524.18146917173</v>
      </c>
      <c r="R144" s="459">
        <f>Taulukko8[[#This Row],[Toimintamenot, arvio]]/Taulukko8[[#This Row],[Työttömät 2022]]</f>
        <v>1550.4836293834346</v>
      </c>
      <c r="S144" s="473">
        <f>Taulukko8[[#This Row],[Palvelut yhteensä, €]]+Taulukko8[[#This Row],[Toimintamenot, arvio]]</f>
        <v>174467.1570300755</v>
      </c>
      <c r="T144" s="481">
        <f>(Taulukko8[[#This Row],[Palvelut + toimintamenot]]/$S$6)*$T$1</f>
        <v>183336.69194236389</v>
      </c>
      <c r="U144" s="483">
        <f>Taulukko8[[#This Row],[Palvelut + toimintamenot, skaalattu siirtyvän rahoituksen tasoon]]*0.5</f>
        <v>91668.345971181945</v>
      </c>
    </row>
    <row r="145" spans="1:21">
      <c r="A145" s="465">
        <v>441</v>
      </c>
      <c r="B145" s="456" t="s">
        <v>150</v>
      </c>
      <c r="C145" s="459">
        <v>4421</v>
      </c>
      <c r="D145" s="459">
        <v>1878</v>
      </c>
      <c r="E145" s="459">
        <v>197</v>
      </c>
      <c r="F145" s="459">
        <v>59364</v>
      </c>
      <c r="G145" s="459">
        <v>33515.105748997943</v>
      </c>
      <c r="H145" s="459">
        <v>20109.063449398764</v>
      </c>
      <c r="I145" s="459">
        <v>43337.542081199776</v>
      </c>
      <c r="J145" s="459">
        <v>38825.240141509428</v>
      </c>
      <c r="K145" s="459">
        <v>1962.8316940682264</v>
      </c>
      <c r="L145" s="459">
        <v>114323.12999999999</v>
      </c>
      <c r="M145" s="459">
        <v>22323.759999999998</v>
      </c>
      <c r="N145" s="459">
        <v>64572.08</v>
      </c>
      <c r="O145" s="473">
        <f>SUM(Taulukko8[[#This Row],[Muiden kuin pakolaisten osuus kotoutumiskoulutuksista,  €]:[Palkkatuki, yksityinen, €]])</f>
        <v>305453.64736617618</v>
      </c>
      <c r="P145" s="459">
        <f>Taulukko8[[#This Row],[Palvelut yhteensä, €]]/Taulukko8[[#This Row],[Työttömät 2022]]</f>
        <v>1550.5261287623157</v>
      </c>
      <c r="Q145" s="473">
        <v>189519.61683056573</v>
      </c>
      <c r="R145" s="459">
        <f>Taulukko8[[#This Row],[Toimintamenot, arvio]]/Taulukko8[[#This Row],[Työttömät 2022]]</f>
        <v>962.02851183028292</v>
      </c>
      <c r="S145" s="473">
        <f>Taulukko8[[#This Row],[Palvelut yhteensä, €]]+Taulukko8[[#This Row],[Toimintamenot, arvio]]</f>
        <v>494973.26419674192</v>
      </c>
      <c r="T145" s="481">
        <f>(Taulukko8[[#This Row],[Palvelut + toimintamenot]]/$S$6)*$T$1</f>
        <v>520136.6400559906</v>
      </c>
      <c r="U145" s="483">
        <f>Taulukko8[[#This Row],[Palvelut + toimintamenot, skaalattu siirtyvän rahoituksen tasoon]]*0.5</f>
        <v>260068.3200279953</v>
      </c>
    </row>
    <row r="146" spans="1:21">
      <c r="A146" s="465">
        <v>444</v>
      </c>
      <c r="B146" s="456" t="s">
        <v>151</v>
      </c>
      <c r="C146" s="459">
        <v>45811</v>
      </c>
      <c r="D146" s="459">
        <v>21425</v>
      </c>
      <c r="E146" s="459">
        <v>1797</v>
      </c>
      <c r="F146" s="459">
        <v>566916</v>
      </c>
      <c r="G146" s="459">
        <v>154290.92034311505</v>
      </c>
      <c r="H146" s="459">
        <v>92574.552205869026</v>
      </c>
      <c r="I146" s="459">
        <v>81224.922639441065</v>
      </c>
      <c r="J146" s="459">
        <v>183335.74928991761</v>
      </c>
      <c r="K146" s="459">
        <v>47818.160388204109</v>
      </c>
      <c r="L146" s="459">
        <v>340731.19</v>
      </c>
      <c r="M146" s="459">
        <v>295211.83999999997</v>
      </c>
      <c r="N146" s="459">
        <v>1035524.4299999999</v>
      </c>
      <c r="O146" s="473">
        <f>SUM(Taulukko8[[#This Row],[Muiden kuin pakolaisten osuus kotoutumiskoulutuksista,  €]:[Palkkatuki, yksityinen, €]])</f>
        <v>2076420.8445234317</v>
      </c>
      <c r="P146" s="459">
        <f>Taulukko8[[#This Row],[Palvelut yhteensä, €]]/Taulukko8[[#This Row],[Työttömät 2022]]</f>
        <v>1155.4929574420878</v>
      </c>
      <c r="Q146" s="473">
        <v>1692683.633817385</v>
      </c>
      <c r="R146" s="459">
        <f>Taulukko8[[#This Row],[Toimintamenot, arvio]]/Taulukko8[[#This Row],[Työttömät 2022]]</f>
        <v>941.94971275313571</v>
      </c>
      <c r="S146" s="473">
        <f>Taulukko8[[#This Row],[Palvelut yhteensä, €]]+Taulukko8[[#This Row],[Toimintamenot, arvio]]</f>
        <v>3769104.4783408167</v>
      </c>
      <c r="T146" s="481">
        <f>(Taulukko8[[#This Row],[Palvelut + toimintamenot]]/$S$6)*$T$1</f>
        <v>3960717.6411147336</v>
      </c>
      <c r="U146" s="483">
        <f>Taulukko8[[#This Row],[Palvelut + toimintamenot, skaalattu siirtyvän rahoituksen tasoon]]*0.5</f>
        <v>1980358.8205573668</v>
      </c>
    </row>
    <row r="147" spans="1:21">
      <c r="A147" s="465">
        <v>445</v>
      </c>
      <c r="B147" s="456" t="s">
        <v>152</v>
      </c>
      <c r="C147" s="459">
        <v>14991</v>
      </c>
      <c r="D147" s="459">
        <v>6761</v>
      </c>
      <c r="E147" s="459">
        <v>377</v>
      </c>
      <c r="F147" s="459">
        <v>112513</v>
      </c>
      <c r="G147" s="459">
        <v>18290.79546671213</v>
      </c>
      <c r="H147" s="459">
        <v>10974.477280027279</v>
      </c>
      <c r="I147" s="459">
        <v>11701.814167590146</v>
      </c>
      <c r="J147" s="459">
        <v>28455.574328358209</v>
      </c>
      <c r="K147" s="459">
        <v>3545.4491140642303</v>
      </c>
      <c r="L147" s="459">
        <v>119026.16</v>
      </c>
      <c r="M147" s="459">
        <v>115806.64000000001</v>
      </c>
      <c r="N147" s="459">
        <v>103381.98999999999</v>
      </c>
      <c r="O147" s="473">
        <f>SUM(Taulukko8[[#This Row],[Muiden kuin pakolaisten osuus kotoutumiskoulutuksista,  €]:[Palkkatuki, yksityinen, €]])</f>
        <v>392892.10489003989</v>
      </c>
      <c r="P147" s="459">
        <f>Taulukko8[[#This Row],[Palvelut yhteensä, €]]/Taulukko8[[#This Row],[Työttömät 2022]]</f>
        <v>1042.1541243767635</v>
      </c>
      <c r="Q147" s="473">
        <v>315804.33784694033</v>
      </c>
      <c r="R147" s="459">
        <f>Taulukko8[[#This Row],[Toimintamenot, arvio]]/Taulukko8[[#This Row],[Työttömät 2022]]</f>
        <v>837.67728871867462</v>
      </c>
      <c r="S147" s="473">
        <f>Taulukko8[[#This Row],[Palvelut yhteensä, €]]+Taulukko8[[#This Row],[Toimintamenot, arvio]]</f>
        <v>708696.44273698027</v>
      </c>
      <c r="T147" s="481">
        <f>(Taulukko8[[#This Row],[Palvelut + toimintamenot]]/$S$6)*$T$1</f>
        <v>744725.04518613149</v>
      </c>
      <c r="U147" s="483">
        <f>Taulukko8[[#This Row],[Palvelut + toimintamenot, skaalattu siirtyvän rahoituksen tasoon]]*0.5</f>
        <v>372362.52259306575</v>
      </c>
    </row>
    <row r="148" spans="1:21">
      <c r="A148" s="465">
        <v>475</v>
      </c>
      <c r="B148" s="456" t="s">
        <v>153</v>
      </c>
      <c r="C148" s="459">
        <v>5479</v>
      </c>
      <c r="D148" s="459">
        <v>2585</v>
      </c>
      <c r="E148" s="459">
        <v>93</v>
      </c>
      <c r="F148" s="459">
        <v>38345</v>
      </c>
      <c r="G148" s="459">
        <v>8591.2152984042059</v>
      </c>
      <c r="H148" s="459">
        <v>5154.7291790425234</v>
      </c>
      <c r="I148" s="459">
        <v>22938.05051379024</v>
      </c>
      <c r="J148" s="459">
        <v>28182.234391534388</v>
      </c>
      <c r="K148" s="459">
        <v>4045.4742202786838</v>
      </c>
      <c r="L148" s="459">
        <v>42799.26</v>
      </c>
      <c r="M148" s="459">
        <v>48339.040000000001</v>
      </c>
      <c r="N148" s="459">
        <v>66142.720000000001</v>
      </c>
      <c r="O148" s="473">
        <f>SUM(Taulukko8[[#This Row],[Muiden kuin pakolaisten osuus kotoutumiskoulutuksista,  €]:[Palkkatuki, yksityinen, €]])</f>
        <v>217601.50830464586</v>
      </c>
      <c r="P148" s="459">
        <f>Taulukko8[[#This Row],[Palvelut yhteensä, €]]/Taulukko8[[#This Row],[Työttömät 2022]]</f>
        <v>2339.8011645660845</v>
      </c>
      <c r="Q148" s="473">
        <v>122928.82054566994</v>
      </c>
      <c r="R148" s="459">
        <f>Taulukko8[[#This Row],[Toimintamenot, arvio]]/Taulukko8[[#This Row],[Työttömät 2022]]</f>
        <v>1321.8152746846229</v>
      </c>
      <c r="S148" s="473">
        <f>Taulukko8[[#This Row],[Palvelut yhteensä, €]]+Taulukko8[[#This Row],[Toimintamenot, arvio]]</f>
        <v>340530.32885031577</v>
      </c>
      <c r="T148" s="481">
        <f>(Taulukko8[[#This Row],[Palvelut + toimintamenot]]/$S$6)*$T$1</f>
        <v>357842.15814727772</v>
      </c>
      <c r="U148" s="483">
        <f>Taulukko8[[#This Row],[Palvelut + toimintamenot, skaalattu siirtyvän rahoituksen tasoon]]*0.5</f>
        <v>178921.07907363886</v>
      </c>
    </row>
    <row r="149" spans="1:21">
      <c r="A149" s="465">
        <v>480</v>
      </c>
      <c r="B149" s="456" t="s">
        <v>154</v>
      </c>
      <c r="C149" s="459">
        <v>1978</v>
      </c>
      <c r="D149" s="459">
        <v>877</v>
      </c>
      <c r="E149" s="459">
        <v>54</v>
      </c>
      <c r="F149" s="459">
        <v>20100</v>
      </c>
      <c r="G149" s="459">
        <v>0</v>
      </c>
      <c r="H149" s="459">
        <v>0</v>
      </c>
      <c r="I149" s="459">
        <v>0</v>
      </c>
      <c r="J149" s="459">
        <v>1897.0382885572137</v>
      </c>
      <c r="K149" s="459">
        <v>507.83621262458473</v>
      </c>
      <c r="L149" s="459">
        <v>30169.98</v>
      </c>
      <c r="M149" s="459">
        <v>36695.46</v>
      </c>
      <c r="N149" s="459">
        <v>49311.66</v>
      </c>
      <c r="O149" s="473">
        <f>SUM(Taulukko8[[#This Row],[Muiden kuin pakolaisten osuus kotoutumiskoulutuksista,  €]:[Palkkatuki, yksityinen, €]])</f>
        <v>118581.9745011818</v>
      </c>
      <c r="P149" s="459">
        <f>Taulukko8[[#This Row],[Palvelut yhteensä, €]]/Taulukko8[[#This Row],[Työttömät 2022]]</f>
        <v>2195.9624907626257</v>
      </c>
      <c r="Q149" s="473">
        <v>56417.189042364007</v>
      </c>
      <c r="R149" s="459">
        <f>Taulukko8[[#This Row],[Toimintamenot, arvio]]/Taulukko8[[#This Row],[Työttömät 2022]]</f>
        <v>1044.7627600437779</v>
      </c>
      <c r="S149" s="473">
        <f>Taulukko8[[#This Row],[Palvelut yhteensä, €]]+Taulukko8[[#This Row],[Toimintamenot, arvio]]</f>
        <v>174999.16354354582</v>
      </c>
      <c r="T149" s="481">
        <f>(Taulukko8[[#This Row],[Palvelut + toimintamenot]]/$S$6)*$T$1</f>
        <v>183895.74452241263</v>
      </c>
      <c r="U149" s="483">
        <f>Taulukko8[[#This Row],[Palvelut + toimintamenot, skaalattu siirtyvän rahoituksen tasoon]]*0.5</f>
        <v>91947.872261206314</v>
      </c>
    </row>
    <row r="150" spans="1:21">
      <c r="A150" s="465">
        <v>481</v>
      </c>
      <c r="B150" s="456" t="s">
        <v>155</v>
      </c>
      <c r="C150" s="459">
        <v>9642</v>
      </c>
      <c r="D150" s="459">
        <v>4784</v>
      </c>
      <c r="E150" s="459">
        <v>221</v>
      </c>
      <c r="F150" s="459">
        <v>67174</v>
      </c>
      <c r="G150" s="459">
        <v>30219.575118915691</v>
      </c>
      <c r="H150" s="459">
        <v>18131.745071349415</v>
      </c>
      <c r="I150" s="459">
        <v>19333.432102975024</v>
      </c>
      <c r="J150" s="459">
        <v>18970.38288557214</v>
      </c>
      <c r="K150" s="459">
        <v>2078.3667220376524</v>
      </c>
      <c r="L150" s="459">
        <v>60582.61</v>
      </c>
      <c r="M150" s="459">
        <v>90475.680000000008</v>
      </c>
      <c r="N150" s="459">
        <v>84306.08</v>
      </c>
      <c r="O150" s="473">
        <f>SUM(Taulukko8[[#This Row],[Muiden kuin pakolaisten osuus kotoutumiskoulutuksista,  €]:[Palkkatuki, yksityinen, €]])</f>
        <v>293878.29678193427</v>
      </c>
      <c r="P150" s="459">
        <f>Taulukko8[[#This Row],[Palvelut yhteensä, €]]/Taulukko8[[#This Row],[Työttömät 2022]]</f>
        <v>1329.766048787033</v>
      </c>
      <c r="Q150" s="473">
        <v>188545.68441451539</v>
      </c>
      <c r="R150" s="459">
        <f>Taulukko8[[#This Row],[Toimintamenot, arvio]]/Taulukko8[[#This Row],[Työttömät 2022]]</f>
        <v>853.14789327835013</v>
      </c>
      <c r="S150" s="473">
        <f>Taulukko8[[#This Row],[Palvelut yhteensä, €]]+Taulukko8[[#This Row],[Toimintamenot, arvio]]</f>
        <v>482423.98119644966</v>
      </c>
      <c r="T150" s="481">
        <f>(Taulukko8[[#This Row],[Palvelut + toimintamenot]]/$S$6)*$T$1</f>
        <v>506949.37850666919</v>
      </c>
      <c r="U150" s="483">
        <f>Taulukko8[[#This Row],[Palvelut + toimintamenot, skaalattu siirtyvän rahoituksen tasoon]]*0.5</f>
        <v>253474.6892533346</v>
      </c>
    </row>
    <row r="151" spans="1:21">
      <c r="A151" s="465">
        <v>483</v>
      </c>
      <c r="B151" s="456" t="s">
        <v>156</v>
      </c>
      <c r="C151" s="459">
        <v>1067</v>
      </c>
      <c r="D151" s="459">
        <v>419</v>
      </c>
      <c r="E151" s="459">
        <v>30</v>
      </c>
      <c r="F151" s="459">
        <v>10601</v>
      </c>
      <c r="G151" s="459">
        <v>193.1751289259403</v>
      </c>
      <c r="H151" s="459">
        <v>115.90507735556417</v>
      </c>
      <c r="I151" s="459">
        <v>531.87131252423421</v>
      </c>
      <c r="J151" s="459">
        <v>0</v>
      </c>
      <c r="K151" s="459">
        <v>347.54819605537443</v>
      </c>
      <c r="L151" s="459">
        <v>0</v>
      </c>
      <c r="M151" s="459">
        <v>11743.36</v>
      </c>
      <c r="N151" s="459">
        <v>178058.63</v>
      </c>
      <c r="O151" s="473">
        <f>SUM(Taulukko8[[#This Row],[Muiden kuin pakolaisten osuus kotoutumiskoulutuksista,  €]:[Palkkatuki, yksityinen, €]])</f>
        <v>190797.31458593518</v>
      </c>
      <c r="P151" s="459">
        <f>Taulukko8[[#This Row],[Palvelut yhteensä, €]]/Taulukko8[[#This Row],[Työttömät 2022]]</f>
        <v>6359.9104861978394</v>
      </c>
      <c r="Q151" s="473">
        <v>30049.471551909832</v>
      </c>
      <c r="R151" s="459">
        <f>Taulukko8[[#This Row],[Toimintamenot, arvio]]/Taulukko8[[#This Row],[Työttömät 2022]]</f>
        <v>1001.6490517303278</v>
      </c>
      <c r="S151" s="473">
        <f>Taulukko8[[#This Row],[Palvelut yhteensä, €]]+Taulukko8[[#This Row],[Toimintamenot, arvio]]</f>
        <v>220846.78613784502</v>
      </c>
      <c r="T151" s="481">
        <f>(Taulukko8[[#This Row],[Palvelut + toimintamenot]]/$S$6)*$T$1</f>
        <v>232074.1616121793</v>
      </c>
      <c r="U151" s="483">
        <f>Taulukko8[[#This Row],[Palvelut + toimintamenot, skaalattu siirtyvän rahoituksen tasoon]]*0.5</f>
        <v>116037.08080608965</v>
      </c>
    </row>
    <row r="152" spans="1:21">
      <c r="A152" s="465">
        <v>484</v>
      </c>
      <c r="B152" s="456" t="s">
        <v>157</v>
      </c>
      <c r="C152" s="459">
        <v>2967</v>
      </c>
      <c r="D152" s="459">
        <v>1172</v>
      </c>
      <c r="E152" s="459">
        <v>103</v>
      </c>
      <c r="F152" s="459">
        <v>30972</v>
      </c>
      <c r="G152" s="459">
        <v>918.32167685589502</v>
      </c>
      <c r="H152" s="459">
        <v>550.99300611353704</v>
      </c>
      <c r="I152" s="459">
        <v>2203.3324017467248</v>
      </c>
      <c r="J152" s="459">
        <v>22496.72546583851</v>
      </c>
      <c r="K152" s="459">
        <v>2870.5886945529764</v>
      </c>
      <c r="L152" s="459">
        <v>83575.47</v>
      </c>
      <c r="M152" s="459">
        <v>7445.24</v>
      </c>
      <c r="N152" s="459">
        <v>65450.29</v>
      </c>
      <c r="O152" s="473">
        <f>SUM(Taulukko8[[#This Row],[Muiden kuin pakolaisten osuus kotoutumiskoulutuksista,  €]:[Palkkatuki, yksityinen, €]])</f>
        <v>184592.63956825176</v>
      </c>
      <c r="P152" s="459">
        <f>Taulukko8[[#This Row],[Palvelut yhteensä, €]]/Taulukko8[[#This Row],[Työttömät 2022]]</f>
        <v>1792.1615492063279</v>
      </c>
      <c r="Q152" s="473">
        <v>103544.49676501669</v>
      </c>
      <c r="R152" s="459">
        <f>Taulukko8[[#This Row],[Toimintamenot, arvio]]/Taulukko8[[#This Row],[Työttömät 2022]]</f>
        <v>1005.2863763593854</v>
      </c>
      <c r="S152" s="473">
        <f>Taulukko8[[#This Row],[Palvelut yhteensä, €]]+Taulukko8[[#This Row],[Toimintamenot, arvio]]</f>
        <v>288137.13633326849</v>
      </c>
      <c r="T152" s="481">
        <f>(Taulukko8[[#This Row],[Palvelut + toimintamenot]]/$S$6)*$T$1</f>
        <v>302785.40844212257</v>
      </c>
      <c r="U152" s="483">
        <f>Taulukko8[[#This Row],[Palvelut + toimintamenot, skaalattu siirtyvän rahoituksen tasoon]]*0.5</f>
        <v>151392.70422106129</v>
      </c>
    </row>
    <row r="153" spans="1:21">
      <c r="A153" s="465">
        <v>489</v>
      </c>
      <c r="B153" s="456" t="s">
        <v>158</v>
      </c>
      <c r="C153" s="459">
        <v>1791</v>
      </c>
      <c r="D153" s="459">
        <v>732</v>
      </c>
      <c r="E153" s="459">
        <v>74</v>
      </c>
      <c r="F153" s="459">
        <v>25350</v>
      </c>
      <c r="G153" s="459">
        <v>8542.0809255317108</v>
      </c>
      <c r="H153" s="459">
        <v>5125.2485553190263</v>
      </c>
      <c r="I153" s="459">
        <v>11045.550455478204</v>
      </c>
      <c r="J153" s="459">
        <v>5546.46287735849</v>
      </c>
      <c r="K153" s="459">
        <v>737.30733685811538</v>
      </c>
      <c r="L153" s="459">
        <v>132993.54</v>
      </c>
      <c r="M153" s="459">
        <v>19879.14</v>
      </c>
      <c r="N153" s="459">
        <v>11312.52</v>
      </c>
      <c r="O153" s="473">
        <f>SUM(Taulukko8[[#This Row],[Muiden kuin pakolaisten osuus kotoutumiskoulutuksista,  €]:[Palkkatuki, yksityinen, €]])</f>
        <v>186639.76922501382</v>
      </c>
      <c r="P153" s="459">
        <f>Taulukko8[[#This Row],[Palvelut yhteensä, €]]/Taulukko8[[#This Row],[Työttömät 2022]]</f>
        <v>2522.1590435812677</v>
      </c>
      <c r="Q153" s="473">
        <v>80929.894997891679</v>
      </c>
      <c r="R153" s="459">
        <f>Taulukko8[[#This Row],[Toimintamenot, arvio]]/Taulukko8[[#This Row],[Työttömät 2022]]</f>
        <v>1093.647229701239</v>
      </c>
      <c r="S153" s="473">
        <f>Taulukko8[[#This Row],[Palvelut yhteensä, €]]+Taulukko8[[#This Row],[Toimintamenot, arvio]]</f>
        <v>267569.66422290553</v>
      </c>
      <c r="T153" s="481">
        <f>(Taulukko8[[#This Row],[Palvelut + toimintamenot]]/$S$6)*$T$1</f>
        <v>281172.33029882051</v>
      </c>
      <c r="U153" s="483">
        <f>Taulukko8[[#This Row],[Palvelut + toimintamenot, skaalattu siirtyvän rahoituksen tasoon]]*0.5</f>
        <v>140586.16514941026</v>
      </c>
    </row>
    <row r="154" spans="1:21">
      <c r="A154" s="465">
        <v>491</v>
      </c>
      <c r="B154" s="456" t="s">
        <v>159</v>
      </c>
      <c r="C154" s="459">
        <v>51980</v>
      </c>
      <c r="D154" s="459">
        <v>23475</v>
      </c>
      <c r="E154" s="459">
        <v>2313</v>
      </c>
      <c r="F154" s="459">
        <v>736705</v>
      </c>
      <c r="G154" s="459">
        <v>377307.89859506965</v>
      </c>
      <c r="H154" s="459">
        <v>226384.7391570418</v>
      </c>
      <c r="I154" s="459">
        <v>717739.34420105757</v>
      </c>
      <c r="J154" s="459">
        <v>286404.02421052632</v>
      </c>
      <c r="K154" s="459">
        <v>209198.53772307691</v>
      </c>
      <c r="L154" s="459">
        <v>706575.07</v>
      </c>
      <c r="M154" s="459">
        <v>331567.30000000005</v>
      </c>
      <c r="N154" s="459">
        <v>2628003.2999999998</v>
      </c>
      <c r="O154" s="473">
        <f>SUM(Taulukko8[[#This Row],[Muiden kuin pakolaisten osuus kotoutumiskoulutuksista,  €]:[Palkkatuki, yksityinen, €]])</f>
        <v>5105872.3152917027</v>
      </c>
      <c r="P154" s="459">
        <f>Taulukko8[[#This Row],[Palvelut yhteensä, €]]/Taulukko8[[#This Row],[Työttömät 2022]]</f>
        <v>2207.4674947218778</v>
      </c>
      <c r="Q154" s="473">
        <v>2362064.4577749008</v>
      </c>
      <c r="R154" s="459">
        <f>Taulukko8[[#This Row],[Toimintamenot, arvio]]/Taulukko8[[#This Row],[Työttömät 2022]]</f>
        <v>1021.2124763402079</v>
      </c>
      <c r="S154" s="473">
        <f>Taulukko8[[#This Row],[Palvelut yhteensä, €]]+Taulukko8[[#This Row],[Toimintamenot, arvio]]</f>
        <v>7467936.7730666036</v>
      </c>
      <c r="T154" s="481">
        <f>(Taulukko8[[#This Row],[Palvelut + toimintamenot]]/$S$6)*$T$1</f>
        <v>7847590.6119840238</v>
      </c>
      <c r="U154" s="483">
        <f>Taulukko8[[#This Row],[Palvelut + toimintamenot, skaalattu siirtyvän rahoituksen tasoon]]*0.5</f>
        <v>3923795.3059920119</v>
      </c>
    </row>
    <row r="155" spans="1:21">
      <c r="A155" s="465">
        <v>494</v>
      </c>
      <c r="B155" s="456" t="s">
        <v>160</v>
      </c>
      <c r="C155" s="459">
        <v>8882</v>
      </c>
      <c r="D155" s="459">
        <v>3822</v>
      </c>
      <c r="E155" s="459">
        <v>371</v>
      </c>
      <c r="F155" s="459">
        <v>112395</v>
      </c>
      <c r="G155" s="459">
        <v>36864.253770033603</v>
      </c>
      <c r="H155" s="459">
        <v>22118.552262020163</v>
      </c>
      <c r="I155" s="459">
        <v>101498.77547337468</v>
      </c>
      <c r="J155" s="459">
        <v>3222.3532947976878</v>
      </c>
      <c r="K155" s="459">
        <v>4298.0126912181304</v>
      </c>
      <c r="L155" s="459">
        <v>107902.71</v>
      </c>
      <c r="M155" s="459">
        <v>23092.42</v>
      </c>
      <c r="N155" s="459">
        <v>110019.81</v>
      </c>
      <c r="O155" s="473">
        <f>SUM(Taulukko8[[#This Row],[Muiden kuin pakolaisten osuus kotoutumiskoulutuksista,  €]:[Palkkatuki, yksityinen, €]])</f>
        <v>372152.63372141065</v>
      </c>
      <c r="P155" s="459">
        <f>Taulukko8[[#This Row],[Palvelut yhteensä, €]]/Taulukko8[[#This Row],[Työttömät 2022]]</f>
        <v>1003.1068294377645</v>
      </c>
      <c r="Q155" s="473">
        <v>318593.56240702816</v>
      </c>
      <c r="R155" s="459">
        <f>Taulukko8[[#This Row],[Toimintamenot, arvio]]/Taulukko8[[#This Row],[Työttömät 2022]]</f>
        <v>858.74275581409211</v>
      </c>
      <c r="S155" s="473">
        <f>Taulukko8[[#This Row],[Palvelut yhteensä, €]]+Taulukko8[[#This Row],[Toimintamenot, arvio]]</f>
        <v>690746.19612843881</v>
      </c>
      <c r="T155" s="481">
        <f>(Taulukko8[[#This Row],[Palvelut + toimintamenot]]/$S$6)*$T$1</f>
        <v>725862.24665842729</v>
      </c>
      <c r="U155" s="483">
        <f>Taulukko8[[#This Row],[Palvelut + toimintamenot, skaalattu siirtyvän rahoituksen tasoon]]*0.5</f>
        <v>362931.12332921365</v>
      </c>
    </row>
    <row r="156" spans="1:21">
      <c r="A156" s="465">
        <v>495</v>
      </c>
      <c r="B156" s="456" t="s">
        <v>161</v>
      </c>
      <c r="C156" s="459">
        <v>1477</v>
      </c>
      <c r="D156" s="459">
        <v>560</v>
      </c>
      <c r="E156" s="459">
        <v>59</v>
      </c>
      <c r="F156" s="459">
        <v>20350</v>
      </c>
      <c r="G156" s="459">
        <v>8872.7742531593831</v>
      </c>
      <c r="H156" s="459">
        <v>5323.6645518956293</v>
      </c>
      <c r="I156" s="459">
        <v>30754.303232619135</v>
      </c>
      <c r="J156" s="459">
        <v>1666.2403303964759</v>
      </c>
      <c r="K156" s="459">
        <v>713.20313859453427</v>
      </c>
      <c r="L156" s="459">
        <v>28781.9</v>
      </c>
      <c r="M156" s="459">
        <v>8397.64</v>
      </c>
      <c r="N156" s="459">
        <v>15439.71</v>
      </c>
      <c r="O156" s="473">
        <f>SUM(Taulukko8[[#This Row],[Muiden kuin pakolaisten osuus kotoutumiskoulutuksista,  €]:[Palkkatuki, yksityinen, €]])</f>
        <v>91076.661253505794</v>
      </c>
      <c r="P156" s="459">
        <f>Taulukko8[[#This Row],[Palvelut yhteensä, €]]/Taulukko8[[#This Row],[Työttömät 2022]]</f>
        <v>1543.6722246356915</v>
      </c>
      <c r="Q156" s="473">
        <v>58740.387255869558</v>
      </c>
      <c r="R156" s="459">
        <f>Taulukko8[[#This Row],[Toimintamenot, arvio]]/Taulukko8[[#This Row],[Työttömät 2022]]</f>
        <v>995.59978399778913</v>
      </c>
      <c r="S156" s="473">
        <f>Taulukko8[[#This Row],[Palvelut yhteensä, €]]+Taulukko8[[#This Row],[Toimintamenot, arvio]]</f>
        <v>149817.04850937537</v>
      </c>
      <c r="T156" s="481">
        <f>(Taulukko8[[#This Row],[Palvelut + toimintamenot]]/$S$6)*$T$1</f>
        <v>157433.42493706508</v>
      </c>
      <c r="U156" s="483">
        <f>Taulukko8[[#This Row],[Palvelut + toimintamenot, skaalattu siirtyvän rahoituksen tasoon]]*0.5</f>
        <v>78716.71246853254</v>
      </c>
    </row>
    <row r="157" spans="1:21">
      <c r="A157" s="465">
        <v>498</v>
      </c>
      <c r="B157" s="456" t="s">
        <v>162</v>
      </c>
      <c r="C157" s="459">
        <v>2281</v>
      </c>
      <c r="D157" s="459">
        <v>1062</v>
      </c>
      <c r="E157" s="459">
        <v>134</v>
      </c>
      <c r="F157" s="459">
        <v>48758</v>
      </c>
      <c r="G157" s="459">
        <v>28366.7414202455</v>
      </c>
      <c r="H157" s="459">
        <v>17020.044852147301</v>
      </c>
      <c r="I157" s="459">
        <v>57694.62964607821</v>
      </c>
      <c r="J157" s="459">
        <v>13455.615649484536</v>
      </c>
      <c r="K157" s="459">
        <v>6793.475402736467</v>
      </c>
      <c r="L157" s="459">
        <v>41685.340000000004</v>
      </c>
      <c r="M157" s="459">
        <v>31101.62</v>
      </c>
      <c r="N157" s="459">
        <v>30793.9</v>
      </c>
      <c r="O157" s="473">
        <f>SUM(Taulukko8[[#This Row],[Muiden kuin pakolaisten osuus kotoutumiskoulutuksista,  €]:[Palkkatuki, yksityinen, €]])</f>
        <v>198544.62555044651</v>
      </c>
      <c r="P157" s="459">
        <f>Taulukko8[[#This Row],[Palvelut yhteensä, €]]/Taulukko8[[#This Row],[Työttömät 2022]]</f>
        <v>1481.676310077959</v>
      </c>
      <c r="Q157" s="473">
        <v>174120.13932512872</v>
      </c>
      <c r="R157" s="459">
        <f>Taulukko8[[#This Row],[Toimintamenot, arvio]]/Taulukko8[[#This Row],[Työttömät 2022]]</f>
        <v>1299.4040248143936</v>
      </c>
      <c r="S157" s="473">
        <f>Taulukko8[[#This Row],[Palvelut yhteensä, €]]+Taulukko8[[#This Row],[Toimintamenot, arvio]]</f>
        <v>372664.7648755752</v>
      </c>
      <c r="T157" s="481">
        <f>(Taulukko8[[#This Row],[Palvelut + toimintamenot]]/$S$6)*$T$1</f>
        <v>391610.23976557906</v>
      </c>
      <c r="U157" s="483">
        <f>Taulukko8[[#This Row],[Palvelut + toimintamenot, skaalattu siirtyvän rahoituksen tasoon]]*0.5</f>
        <v>195805.11988278953</v>
      </c>
    </row>
    <row r="158" spans="1:21">
      <c r="A158" s="465">
        <v>499</v>
      </c>
      <c r="B158" s="456" t="s">
        <v>163</v>
      </c>
      <c r="C158" s="459">
        <v>19662</v>
      </c>
      <c r="D158" s="459">
        <v>9457</v>
      </c>
      <c r="E158" s="459">
        <v>328</v>
      </c>
      <c r="F158" s="459">
        <v>127365</v>
      </c>
      <c r="G158" s="459">
        <v>52286.699664468229</v>
      </c>
      <c r="H158" s="459">
        <v>31372.019798680936</v>
      </c>
      <c r="I158" s="459">
        <v>139602.47956138733</v>
      </c>
      <c r="J158" s="459">
        <v>64819.139100529093</v>
      </c>
      <c r="K158" s="459">
        <v>14267.909077972132</v>
      </c>
      <c r="L158" s="459">
        <v>120322.95</v>
      </c>
      <c r="M158" s="459">
        <v>186604.92</v>
      </c>
      <c r="N158" s="459">
        <v>499865.52</v>
      </c>
      <c r="O158" s="473">
        <f>SUM(Taulukko8[[#This Row],[Muiden kuin pakolaisten osuus kotoutumiskoulutuksista,  €]:[Palkkatuki, yksityinen, €]])</f>
        <v>1056854.9375385696</v>
      </c>
      <c r="P158" s="459">
        <f>Taulukko8[[#This Row],[Palvelut yhteensä, €]]/Taulukko8[[#This Row],[Työttömät 2022]]</f>
        <v>3222.1187120078339</v>
      </c>
      <c r="Q158" s="473">
        <v>408314.75365234719</v>
      </c>
      <c r="R158" s="459">
        <f>Taulukko8[[#This Row],[Toimintamenot, arvio]]/Taulukko8[[#This Row],[Työttömät 2022]]</f>
        <v>1244.8620538181317</v>
      </c>
      <c r="S158" s="473">
        <f>Taulukko8[[#This Row],[Palvelut yhteensä, €]]+Taulukko8[[#This Row],[Toimintamenot, arvio]]</f>
        <v>1465169.6911909168</v>
      </c>
      <c r="T158" s="481">
        <f>(Taulukko8[[#This Row],[Palvelut + toimintamenot]]/$S$6)*$T$1</f>
        <v>1539655.7661041706</v>
      </c>
      <c r="U158" s="483">
        <f>Taulukko8[[#This Row],[Palvelut + toimintamenot, skaalattu siirtyvän rahoituksen tasoon]]*0.5</f>
        <v>769827.88305208529</v>
      </c>
    </row>
    <row r="159" spans="1:21">
      <c r="A159" s="465">
        <v>500</v>
      </c>
      <c r="B159" s="456" t="s">
        <v>164</v>
      </c>
      <c r="C159" s="459">
        <v>10486</v>
      </c>
      <c r="D159" s="459">
        <v>4962</v>
      </c>
      <c r="E159" s="459">
        <v>365</v>
      </c>
      <c r="F159" s="459">
        <v>117595</v>
      </c>
      <c r="G159" s="459">
        <v>40459.850594406787</v>
      </c>
      <c r="H159" s="459">
        <v>24275.910356644072</v>
      </c>
      <c r="I159" s="459">
        <v>140239.62274074327</v>
      </c>
      <c r="J159" s="459">
        <v>23327.364625550661</v>
      </c>
      <c r="K159" s="459">
        <v>4412.1889082543221</v>
      </c>
      <c r="L159" s="459">
        <v>263178.58</v>
      </c>
      <c r="M159" s="459">
        <v>85854.68</v>
      </c>
      <c r="N159" s="459">
        <v>324025.87</v>
      </c>
      <c r="O159" s="473">
        <f>SUM(Taulukko8[[#This Row],[Muiden kuin pakolaisten osuus kotoutumiskoulutuksista,  €]:[Palkkatuki, yksityinen, €]])</f>
        <v>865314.21663119236</v>
      </c>
      <c r="P159" s="459">
        <f>Taulukko8[[#This Row],[Palvelut yhteensä, €]]/Taulukko8[[#This Row],[Työttömät 2022]]</f>
        <v>2370.723881181349</v>
      </c>
      <c r="Q159" s="473">
        <v>339438.61618447077</v>
      </c>
      <c r="R159" s="459">
        <f>Taulukko8[[#This Row],[Toimintamenot, arvio]]/Taulukko8[[#This Row],[Työttömät 2022]]</f>
        <v>929.96881146430349</v>
      </c>
      <c r="S159" s="473">
        <f>Taulukko8[[#This Row],[Palvelut yhteensä, €]]+Taulukko8[[#This Row],[Toimintamenot, arvio]]</f>
        <v>1204752.8328156632</v>
      </c>
      <c r="T159" s="481">
        <f>(Taulukko8[[#This Row],[Palvelut + toimintamenot]]/$S$6)*$T$1</f>
        <v>1265999.8749136485</v>
      </c>
      <c r="U159" s="483">
        <f>Taulukko8[[#This Row],[Palvelut + toimintamenot, skaalattu siirtyvän rahoituksen tasoon]]*0.5</f>
        <v>632999.93745682423</v>
      </c>
    </row>
    <row r="160" spans="1:21">
      <c r="A160" s="465">
        <v>503</v>
      </c>
      <c r="B160" s="456" t="s">
        <v>165</v>
      </c>
      <c r="C160" s="459">
        <v>7539</v>
      </c>
      <c r="D160" s="459">
        <v>3517</v>
      </c>
      <c r="E160" s="459">
        <v>221</v>
      </c>
      <c r="F160" s="459">
        <v>66787</v>
      </c>
      <c r="G160" s="459">
        <v>14977.245563322251</v>
      </c>
      <c r="H160" s="459">
        <v>8986.3473379933494</v>
      </c>
      <c r="I160" s="459">
        <v>9581.9202966499015</v>
      </c>
      <c r="J160" s="459">
        <v>17073.344597014926</v>
      </c>
      <c r="K160" s="459">
        <v>2078.3667220376524</v>
      </c>
      <c r="L160" s="459">
        <v>76503.94</v>
      </c>
      <c r="M160" s="459">
        <v>45828.22</v>
      </c>
      <c r="N160" s="459">
        <v>91598.32</v>
      </c>
      <c r="O160" s="473">
        <f>SUM(Taulukko8[[#This Row],[Muiden kuin pakolaisten osuus kotoutumiskoulutuksista,  €]:[Palkkatuki, yksityinen, €]])</f>
        <v>251650.45895369584</v>
      </c>
      <c r="P160" s="459">
        <f>Taulukko8[[#This Row],[Palvelut yhteensä, €]]/Taulukko8[[#This Row],[Työttömät 2022]]</f>
        <v>1138.6898595189857</v>
      </c>
      <c r="Q160" s="473">
        <v>187459.44301355048</v>
      </c>
      <c r="R160" s="459">
        <f>Taulukko8[[#This Row],[Toimintamenot, arvio]]/Taulukko8[[#This Row],[Työttömät 2022]]</f>
        <v>848.23277381697051</v>
      </c>
      <c r="S160" s="473">
        <f>Taulukko8[[#This Row],[Palvelut yhteensä, €]]+Taulukko8[[#This Row],[Toimintamenot, arvio]]</f>
        <v>439109.90196724632</v>
      </c>
      <c r="T160" s="481">
        <f>(Taulukko8[[#This Row],[Palvelut + toimintamenot]]/$S$6)*$T$1</f>
        <v>461433.30467597867</v>
      </c>
      <c r="U160" s="483">
        <f>Taulukko8[[#This Row],[Palvelut + toimintamenot, skaalattu siirtyvän rahoituksen tasoon]]*0.5</f>
        <v>230716.65233798933</v>
      </c>
    </row>
    <row r="161" spans="1:21">
      <c r="A161" s="465">
        <v>504</v>
      </c>
      <c r="B161" s="456" t="s">
        <v>166</v>
      </c>
      <c r="C161" s="459">
        <v>1764</v>
      </c>
      <c r="D161" s="459">
        <v>827</v>
      </c>
      <c r="E161" s="459">
        <v>83</v>
      </c>
      <c r="F161" s="459">
        <v>24387</v>
      </c>
      <c r="G161" s="459">
        <v>8461.541475543585</v>
      </c>
      <c r="H161" s="459">
        <v>5076.9248853261506</v>
      </c>
      <c r="I161" s="459">
        <v>4454.4944720858857</v>
      </c>
      <c r="J161" s="459">
        <v>7432.5303766182824</v>
      </c>
      <c r="K161" s="459">
        <v>2208.6295560494941</v>
      </c>
      <c r="L161" s="459">
        <v>9717.3000000000011</v>
      </c>
      <c r="M161" s="459">
        <v>28203.200000000001</v>
      </c>
      <c r="N161" s="459">
        <v>7430.1</v>
      </c>
      <c r="O161" s="473">
        <f>SUM(Taulukko8[[#This Row],[Muiden kuin pakolaisten osuus kotoutumiskoulutuksista,  €]:[Palkkatuki, yksityinen, €]])</f>
        <v>64523.17929007981</v>
      </c>
      <c r="P161" s="459">
        <f>Taulukko8[[#This Row],[Palvelut yhteensä, €]]/Taulukko8[[#This Row],[Työttömät 2022]]</f>
        <v>777.38770229011823</v>
      </c>
      <c r="Q161" s="473">
        <v>72814.095523683514</v>
      </c>
      <c r="R161" s="459">
        <f>Taulukko8[[#This Row],[Toimintamenot, arvio]]/Taulukko8[[#This Row],[Työttömät 2022]]</f>
        <v>877.27825932148812</v>
      </c>
      <c r="S161" s="473">
        <f>Taulukko8[[#This Row],[Palvelut yhteensä, €]]+Taulukko8[[#This Row],[Toimintamenot, arvio]]</f>
        <v>137337.27481376333</v>
      </c>
      <c r="T161" s="481">
        <f>(Taulukko8[[#This Row],[Palvelut + toimintamenot]]/$S$6)*$T$1</f>
        <v>144319.20639593058</v>
      </c>
      <c r="U161" s="483">
        <f>Taulukko8[[#This Row],[Palvelut + toimintamenot, skaalattu siirtyvän rahoituksen tasoon]]*0.5</f>
        <v>72159.603197965291</v>
      </c>
    </row>
    <row r="162" spans="1:21">
      <c r="A162" s="465">
        <v>505</v>
      </c>
      <c r="B162" s="456" t="s">
        <v>167</v>
      </c>
      <c r="C162" s="459">
        <v>20912</v>
      </c>
      <c r="D162" s="459">
        <v>10228</v>
      </c>
      <c r="E162" s="459">
        <v>644</v>
      </c>
      <c r="F162" s="459">
        <v>186186</v>
      </c>
      <c r="G162" s="459">
        <v>115817.34894650281</v>
      </c>
      <c r="H162" s="459">
        <v>69490.409367901681</v>
      </c>
      <c r="I162" s="459">
        <v>60970.893086675555</v>
      </c>
      <c r="J162" s="459">
        <v>42117.672134170265</v>
      </c>
      <c r="K162" s="459">
        <v>17136.836555371978</v>
      </c>
      <c r="L162" s="459">
        <v>181329.33000000002</v>
      </c>
      <c r="M162" s="459">
        <v>164187.62</v>
      </c>
      <c r="N162" s="459">
        <v>222299.24</v>
      </c>
      <c r="O162" s="473">
        <f>SUM(Taulukko8[[#This Row],[Muiden kuin pakolaisten osuus kotoutumiskoulutuksista,  €]:[Palkkatuki, yksityinen, €]])</f>
        <v>757532.00114411954</v>
      </c>
      <c r="P162" s="459">
        <f>Taulukko8[[#This Row],[Palvelut yhteensä, €]]/Taulukko8[[#This Row],[Työttömät 2022]]</f>
        <v>1176.2919272424217</v>
      </c>
      <c r="Q162" s="473">
        <v>555909.50872073392</v>
      </c>
      <c r="R162" s="459">
        <f>Taulukko8[[#This Row],[Toimintamenot, arvio]]/Taulukko8[[#This Row],[Työttömät 2022]]</f>
        <v>863.21352285828254</v>
      </c>
      <c r="S162" s="473">
        <f>Taulukko8[[#This Row],[Palvelut yhteensä, €]]+Taulukko8[[#This Row],[Toimintamenot, arvio]]</f>
        <v>1313441.5098648535</v>
      </c>
      <c r="T162" s="481">
        <f>(Taulukko8[[#This Row],[Palvelut + toimintamenot]]/$S$6)*$T$1</f>
        <v>1380214.0504696553</v>
      </c>
      <c r="U162" s="483">
        <f>Taulukko8[[#This Row],[Palvelut + toimintamenot, skaalattu siirtyvän rahoituksen tasoon]]*0.5</f>
        <v>690107.02523482766</v>
      </c>
    </row>
    <row r="163" spans="1:21">
      <c r="A163" s="465">
        <v>507</v>
      </c>
      <c r="B163" s="456" t="s">
        <v>168</v>
      </c>
      <c r="C163" s="459">
        <v>5564</v>
      </c>
      <c r="D163" s="459">
        <v>2202</v>
      </c>
      <c r="E163" s="459">
        <v>205</v>
      </c>
      <c r="F163" s="459">
        <v>57811</v>
      </c>
      <c r="G163" s="459">
        <v>24557.832632012633</v>
      </c>
      <c r="H163" s="459">
        <v>14734.69957920758</v>
      </c>
      <c r="I163" s="459">
        <v>46715.488209846881</v>
      </c>
      <c r="J163" s="459">
        <v>34715.639298245616</v>
      </c>
      <c r="K163" s="459">
        <v>18541.158769230769</v>
      </c>
      <c r="L163" s="459">
        <v>123190.11</v>
      </c>
      <c r="M163" s="459">
        <v>38698.600000000006</v>
      </c>
      <c r="N163" s="459">
        <v>169656.07</v>
      </c>
      <c r="O163" s="473">
        <f>SUM(Taulukko8[[#This Row],[Muiden kuin pakolaisten osuus kotoutumiskoulutuksista,  €]:[Palkkatuki, yksityinen, €]])</f>
        <v>446251.76585653081</v>
      </c>
      <c r="P163" s="459">
        <f>Taulukko8[[#This Row],[Palvelut yhteensä, €]]/Taulukko8[[#This Row],[Työttömät 2022]]</f>
        <v>2176.8378822269797</v>
      </c>
      <c r="Q163" s="473">
        <v>185356.83668283073</v>
      </c>
      <c r="R163" s="459">
        <f>Taulukko8[[#This Row],[Toimintamenot, arvio]]/Taulukko8[[#This Row],[Työttömät 2022]]</f>
        <v>904.17969113575964</v>
      </c>
      <c r="S163" s="473">
        <f>Taulukko8[[#This Row],[Palvelut yhteensä, €]]+Taulukko8[[#This Row],[Toimintamenot, arvio]]</f>
        <v>631608.60253936157</v>
      </c>
      <c r="T163" s="481">
        <f>(Taulukko8[[#This Row],[Palvelut + toimintamenot]]/$S$6)*$T$1</f>
        <v>663718.22504074057</v>
      </c>
      <c r="U163" s="483">
        <f>Taulukko8[[#This Row],[Palvelut + toimintamenot, skaalattu siirtyvän rahoituksen tasoon]]*0.5</f>
        <v>331859.11252037028</v>
      </c>
    </row>
    <row r="164" spans="1:21">
      <c r="A164" s="465">
        <v>508</v>
      </c>
      <c r="B164" s="456" t="s">
        <v>169</v>
      </c>
      <c r="C164" s="459">
        <v>9360</v>
      </c>
      <c r="D164" s="459">
        <v>3737</v>
      </c>
      <c r="E164" s="459">
        <v>326</v>
      </c>
      <c r="F164" s="459">
        <v>118674</v>
      </c>
      <c r="G164" s="459">
        <v>25775.529015964334</v>
      </c>
      <c r="H164" s="459">
        <v>15465.3174095786</v>
      </c>
      <c r="I164" s="459">
        <v>37528.359156623039</v>
      </c>
      <c r="J164" s="459">
        <v>20854.420377358492</v>
      </c>
      <c r="K164" s="459">
        <v>2861.0878990334986</v>
      </c>
      <c r="L164" s="459">
        <v>200916.44</v>
      </c>
      <c r="M164" s="459">
        <v>54502.520000000004</v>
      </c>
      <c r="N164" s="459">
        <v>331656.90999999997</v>
      </c>
      <c r="O164" s="473">
        <f>SUM(Taulukko8[[#This Row],[Muiden kuin pakolaisten osuus kotoutumiskoulutuksista,  €]:[Palkkatuki, yksityinen, €]])</f>
        <v>663785.05484259361</v>
      </c>
      <c r="P164" s="459">
        <f>Taulukko8[[#This Row],[Palvelut yhteensä, €]]/Taulukko8[[#This Row],[Työttömät 2022]]</f>
        <v>2036.150474977281</v>
      </c>
      <c r="Q164" s="473">
        <v>325430.14254005102</v>
      </c>
      <c r="R164" s="459">
        <f>Taulukko8[[#This Row],[Toimintamenot, arvio]]/Taulukko8[[#This Row],[Työttömät 2022]]</f>
        <v>998.25197098175158</v>
      </c>
      <c r="S164" s="473">
        <f>Taulukko8[[#This Row],[Palvelut yhteensä, €]]+Taulukko8[[#This Row],[Toimintamenot, arvio]]</f>
        <v>989215.19738264463</v>
      </c>
      <c r="T164" s="481">
        <f>(Taulukko8[[#This Row],[Palvelut + toimintamenot]]/$S$6)*$T$1</f>
        <v>1039504.7698059467</v>
      </c>
      <c r="U164" s="483">
        <f>Taulukko8[[#This Row],[Palvelut + toimintamenot, skaalattu siirtyvän rahoituksen tasoon]]*0.5</f>
        <v>519752.38490297337</v>
      </c>
    </row>
    <row r="165" spans="1:21">
      <c r="A165" s="465">
        <v>529</v>
      </c>
      <c r="B165" s="456" t="s">
        <v>170</v>
      </c>
      <c r="C165" s="459">
        <v>19850</v>
      </c>
      <c r="D165" s="459">
        <v>9166</v>
      </c>
      <c r="E165" s="459">
        <v>592</v>
      </c>
      <c r="F165" s="459">
        <v>189139</v>
      </c>
      <c r="G165" s="459">
        <v>122468.80442928991</v>
      </c>
      <c r="H165" s="459">
        <v>73481.282657573945</v>
      </c>
      <c r="I165" s="459">
        <v>78351.277469951412</v>
      </c>
      <c r="J165" s="459">
        <v>60705.225233830839</v>
      </c>
      <c r="K165" s="459">
        <v>5567.3895902547065</v>
      </c>
      <c r="L165" s="459">
        <v>283716.84999999998</v>
      </c>
      <c r="M165" s="459">
        <v>114537.66</v>
      </c>
      <c r="N165" s="459">
        <v>322523.12</v>
      </c>
      <c r="O165" s="473">
        <f>SUM(Taulukko8[[#This Row],[Muiden kuin pakolaisten osuus kotoutumiskoulutuksista,  €]:[Palkkatuki, yksityinen, €]])</f>
        <v>938882.80495161086</v>
      </c>
      <c r="P165" s="459">
        <f>Taulukko8[[#This Row],[Palvelut yhteensä, €]]/Taulukko8[[#This Row],[Työttömät 2022]]</f>
        <v>1585.9506840398833</v>
      </c>
      <c r="Q165" s="473">
        <v>530880.13523799425</v>
      </c>
      <c r="R165" s="459">
        <f>Taulukko8[[#This Row],[Toimintamenot, arvio]]/Taulukko8[[#This Row],[Työttömät 2022]]</f>
        <v>896.75698519931461</v>
      </c>
      <c r="S165" s="473">
        <f>Taulukko8[[#This Row],[Palvelut yhteensä, €]]+Taulukko8[[#This Row],[Toimintamenot, arvio]]</f>
        <v>1469762.9401896051</v>
      </c>
      <c r="T165" s="481">
        <f>(Taulukko8[[#This Row],[Palvelut + toimintamenot]]/$S$6)*$T$1</f>
        <v>1544482.5259999712</v>
      </c>
      <c r="U165" s="483">
        <f>Taulukko8[[#This Row],[Palvelut + toimintamenot, skaalattu siirtyvän rahoituksen tasoon]]*0.5</f>
        <v>772241.2629999856</v>
      </c>
    </row>
    <row r="166" spans="1:21">
      <c r="A166" s="465">
        <v>531</v>
      </c>
      <c r="B166" s="456" t="s">
        <v>171</v>
      </c>
      <c r="C166" s="459">
        <v>5072</v>
      </c>
      <c r="D166" s="459">
        <v>2206</v>
      </c>
      <c r="E166" s="459">
        <v>155</v>
      </c>
      <c r="F166" s="459">
        <v>70139</v>
      </c>
      <c r="G166" s="459">
        <v>20203.076890829692</v>
      </c>
      <c r="H166" s="459">
        <v>12121.846134497815</v>
      </c>
      <c r="I166" s="459">
        <v>48473.312838427955</v>
      </c>
      <c r="J166" s="459">
        <v>31495.415652173913</v>
      </c>
      <c r="K166" s="459">
        <v>4319.8179384049645</v>
      </c>
      <c r="L166" s="459">
        <v>44626.28</v>
      </c>
      <c r="M166" s="459">
        <v>15590.220000000001</v>
      </c>
      <c r="N166" s="459">
        <v>84571.150000000009</v>
      </c>
      <c r="O166" s="473">
        <f>SUM(Taulukko8[[#This Row],[Muiden kuin pakolaisten osuus kotoutumiskoulutuksista,  €]:[Palkkatuki, yksityinen, €]])</f>
        <v>241198.04256350466</v>
      </c>
      <c r="P166" s="459">
        <f>Taulukko8[[#This Row],[Palvelut yhteensä, €]]/Taulukko8[[#This Row],[Työttömät 2022]]</f>
        <v>1556.116403635514</v>
      </c>
      <c r="Q166" s="473">
        <v>234486.22816096817</v>
      </c>
      <c r="R166" s="459">
        <f>Taulukko8[[#This Row],[Toimintamenot, arvio]]/Taulukko8[[#This Row],[Työttömät 2022]]</f>
        <v>1512.8143752320527</v>
      </c>
      <c r="S166" s="473">
        <f>Taulukko8[[#This Row],[Palvelut yhteensä, €]]+Taulukko8[[#This Row],[Toimintamenot, arvio]]</f>
        <v>475684.27072447282</v>
      </c>
      <c r="T166" s="481">
        <f>(Taulukko8[[#This Row],[Palvelut + toimintamenot]]/$S$6)*$T$1</f>
        <v>499867.03565420595</v>
      </c>
      <c r="U166" s="483">
        <f>Taulukko8[[#This Row],[Palvelut + toimintamenot, skaalattu siirtyvän rahoituksen tasoon]]*0.5</f>
        <v>249933.51782710297</v>
      </c>
    </row>
    <row r="167" spans="1:21">
      <c r="A167" s="465">
        <v>535</v>
      </c>
      <c r="B167" s="456" t="s">
        <v>172</v>
      </c>
      <c r="C167" s="459">
        <v>10419</v>
      </c>
      <c r="D167" s="459">
        <v>4322</v>
      </c>
      <c r="E167" s="459">
        <v>284</v>
      </c>
      <c r="F167" s="459">
        <v>95157</v>
      </c>
      <c r="G167" s="459">
        <v>7050.8922057968211</v>
      </c>
      <c r="H167" s="459">
        <v>4230.5353234780923</v>
      </c>
      <c r="I167" s="459">
        <v>19413.302907134548</v>
      </c>
      <c r="J167" s="459">
        <v>3222.3532947976878</v>
      </c>
      <c r="K167" s="459">
        <v>3290.1229226575447</v>
      </c>
      <c r="L167" s="459">
        <v>37053.230000000003</v>
      </c>
      <c r="M167" s="459">
        <v>89499.86</v>
      </c>
      <c r="N167" s="459">
        <v>265786.59999999998</v>
      </c>
      <c r="O167" s="473">
        <f>SUM(Taulukko8[[#This Row],[Muiden kuin pakolaisten osuus kotoutumiskoulutuksista,  €]:[Palkkatuki, yksityinen, €]])</f>
        <v>422496.00444806786</v>
      </c>
      <c r="P167" s="459">
        <f>Taulukko8[[#This Row],[Palvelut yhteensä, €]]/Taulukko8[[#This Row],[Työttömät 2022]]</f>
        <v>1487.6619874931966</v>
      </c>
      <c r="Q167" s="473">
        <v>269730.92769220675</v>
      </c>
      <c r="R167" s="459">
        <f>Taulukko8[[#This Row],[Toimintamenot, arvio]]/Taulukko8[[#This Row],[Työttömät 2022]]</f>
        <v>949.75678764861527</v>
      </c>
      <c r="S167" s="473">
        <f>Taulukko8[[#This Row],[Palvelut yhteensä, €]]+Taulukko8[[#This Row],[Toimintamenot, arvio]]</f>
        <v>692226.93214027467</v>
      </c>
      <c r="T167" s="481">
        <f>(Taulukko8[[#This Row],[Palvelut + toimintamenot]]/$S$6)*$T$1</f>
        <v>727418.2601034285</v>
      </c>
      <c r="U167" s="483">
        <f>Taulukko8[[#This Row],[Palvelut + toimintamenot, skaalattu siirtyvän rahoituksen tasoon]]*0.5</f>
        <v>363709.13005171425</v>
      </c>
    </row>
    <row r="168" spans="1:21">
      <c r="A168" s="465">
        <v>536</v>
      </c>
      <c r="B168" s="456" t="s">
        <v>173</v>
      </c>
      <c r="C168" s="459">
        <v>35346</v>
      </c>
      <c r="D168" s="459">
        <v>16908</v>
      </c>
      <c r="E168" s="459">
        <v>1221</v>
      </c>
      <c r="F168" s="459">
        <v>442352</v>
      </c>
      <c r="G168" s="459">
        <v>191022.05499899326</v>
      </c>
      <c r="H168" s="459">
        <v>114613.23299939596</v>
      </c>
      <c r="I168" s="459">
        <v>278122.10109823098</v>
      </c>
      <c r="J168" s="459">
        <v>250253.04452830189</v>
      </c>
      <c r="K168" s="459">
        <v>10715.915106502767</v>
      </c>
      <c r="L168" s="459">
        <v>147331.41999999998</v>
      </c>
      <c r="M168" s="459">
        <v>281117.58</v>
      </c>
      <c r="N168" s="459">
        <v>929628.04</v>
      </c>
      <c r="O168" s="473">
        <f>SUM(Taulukko8[[#This Row],[Muiden kuin pakolaisten osuus kotoutumiskoulutuksista,  €]:[Palkkatuki, yksityinen, €]])</f>
        <v>2011781.3337324318</v>
      </c>
      <c r="P168" s="459">
        <f>Taulukko8[[#This Row],[Palvelut yhteensä, €]]/Taulukko8[[#This Row],[Työttömät 2022]]</f>
        <v>1647.6505599774216</v>
      </c>
      <c r="Q168" s="473">
        <v>1213026.2265776552</v>
      </c>
      <c r="R168" s="459">
        <f>Taulukko8[[#This Row],[Toimintamenot, arvio]]/Taulukko8[[#This Row],[Työttömät 2022]]</f>
        <v>993.46947303657259</v>
      </c>
      <c r="S168" s="473">
        <f>Taulukko8[[#This Row],[Palvelut yhteensä, €]]+Taulukko8[[#This Row],[Toimintamenot, arvio]]</f>
        <v>3224807.5603100872</v>
      </c>
      <c r="T168" s="481">
        <f>(Taulukko8[[#This Row],[Palvelut + toimintamenot]]/$S$6)*$T$1</f>
        <v>3388749.8387794448</v>
      </c>
      <c r="U168" s="483">
        <f>Taulukko8[[#This Row],[Palvelut + toimintamenot, skaalattu siirtyvän rahoituksen tasoon]]*0.5</f>
        <v>1694374.9193897224</v>
      </c>
    </row>
    <row r="169" spans="1:21">
      <c r="A169" s="465">
        <v>538</v>
      </c>
      <c r="B169" s="456" t="s">
        <v>174</v>
      </c>
      <c r="C169" s="459">
        <v>4644</v>
      </c>
      <c r="D169" s="459">
        <v>2254</v>
      </c>
      <c r="E169" s="459">
        <v>118</v>
      </c>
      <c r="F169" s="459">
        <v>33107</v>
      </c>
      <c r="G169" s="459">
        <v>31810.079072542834</v>
      </c>
      <c r="H169" s="459">
        <v>19086.047443525698</v>
      </c>
      <c r="I169" s="459">
        <v>20350.981161026342</v>
      </c>
      <c r="J169" s="459">
        <v>5691.1148656716414</v>
      </c>
      <c r="K169" s="459">
        <v>1109.7161683277961</v>
      </c>
      <c r="L169" s="459">
        <v>20393.25</v>
      </c>
      <c r="M169" s="459">
        <v>42365.34</v>
      </c>
      <c r="N169" s="459">
        <v>66972.75</v>
      </c>
      <c r="O169" s="473">
        <f>SUM(Taulukko8[[#This Row],[Muiden kuin pakolaisten osuus kotoutumiskoulutuksista,  €]:[Palkkatuki, yksityinen, €]])</f>
        <v>175969.19963855148</v>
      </c>
      <c r="P169" s="459">
        <f>Taulukko8[[#This Row],[Palvelut yhteensä, €]]/Taulukko8[[#This Row],[Työttömät 2022]]</f>
        <v>1491.264403716538</v>
      </c>
      <c r="Q169" s="473">
        <v>92925.566051022135</v>
      </c>
      <c r="R169" s="459">
        <f>Taulukko8[[#This Row],[Toimintamenot, arvio]]/Taulukko8[[#This Row],[Työttömät 2022]]</f>
        <v>787.50479704256043</v>
      </c>
      <c r="S169" s="473">
        <f>Taulukko8[[#This Row],[Palvelut yhteensä, €]]+Taulukko8[[#This Row],[Toimintamenot, arvio]]</f>
        <v>268894.7656895736</v>
      </c>
      <c r="T169" s="481">
        <f>(Taulukko8[[#This Row],[Palvelut + toimintamenot]]/$S$6)*$T$1</f>
        <v>282564.79707321187</v>
      </c>
      <c r="U169" s="483">
        <f>Taulukko8[[#This Row],[Palvelut + toimintamenot, skaalattu siirtyvän rahoituksen tasoon]]*0.5</f>
        <v>141282.39853660594</v>
      </c>
    </row>
    <row r="170" spans="1:21">
      <c r="A170" s="465">
        <v>541</v>
      </c>
      <c r="B170" s="456" t="s">
        <v>175</v>
      </c>
      <c r="C170" s="459">
        <v>9243</v>
      </c>
      <c r="D170" s="459">
        <v>3752</v>
      </c>
      <c r="E170" s="459">
        <v>452</v>
      </c>
      <c r="F170" s="459">
        <v>154327</v>
      </c>
      <c r="G170" s="459">
        <v>37236.722213811969</v>
      </c>
      <c r="H170" s="459">
        <v>22342.03332828718</v>
      </c>
      <c r="I170" s="459">
        <v>67975.22250234196</v>
      </c>
      <c r="J170" s="459">
        <v>18790.338556701034</v>
      </c>
      <c r="K170" s="459">
        <v>3713.772330694811</v>
      </c>
      <c r="L170" s="459">
        <v>253701.97000000003</v>
      </c>
      <c r="M170" s="459">
        <v>56870.52</v>
      </c>
      <c r="N170" s="459">
        <v>801653.41999999993</v>
      </c>
      <c r="O170" s="473">
        <f>SUM(Taulukko8[[#This Row],[Muiden kuin pakolaisten osuus kotoutumiskoulutuksista,  €]:[Palkkatuki, yksityinen, €]])</f>
        <v>1225047.2767180251</v>
      </c>
      <c r="P170" s="459">
        <f>Taulukko8[[#This Row],[Palvelut yhteensä, €]]/Taulukko8[[#This Row],[Työttömät 2022]]</f>
        <v>2710.2815856593475</v>
      </c>
      <c r="Q170" s="473">
        <v>408369.7608968608</v>
      </c>
      <c r="R170" s="459">
        <f>Taulukko8[[#This Row],[Toimintamenot, arvio]]/Taulukko8[[#This Row],[Työttömät 2022]]</f>
        <v>903.47292233818757</v>
      </c>
      <c r="S170" s="473">
        <f>Taulukko8[[#This Row],[Palvelut yhteensä, €]]+Taulukko8[[#This Row],[Toimintamenot, arvio]]</f>
        <v>1633417.037614886</v>
      </c>
      <c r="T170" s="481">
        <f>(Taulukko8[[#This Row],[Palvelut + toimintamenot]]/$S$6)*$T$1</f>
        <v>1716456.4456506025</v>
      </c>
      <c r="U170" s="483">
        <f>Taulukko8[[#This Row],[Palvelut + toimintamenot, skaalattu siirtyvän rahoituksen tasoon]]*0.5</f>
        <v>858228.22282530123</v>
      </c>
    </row>
    <row r="171" spans="1:21">
      <c r="A171" s="465">
        <v>543</v>
      </c>
      <c r="B171" s="456" t="s">
        <v>176</v>
      </c>
      <c r="C171" s="459">
        <v>44458</v>
      </c>
      <c r="D171" s="459">
        <v>22663</v>
      </c>
      <c r="E171" s="459">
        <v>1528</v>
      </c>
      <c r="F171" s="459">
        <v>421733</v>
      </c>
      <c r="G171" s="459">
        <v>412500.14693274972</v>
      </c>
      <c r="H171" s="459">
        <v>247500.08815964981</v>
      </c>
      <c r="I171" s="459">
        <v>217156.6055141869</v>
      </c>
      <c r="J171" s="459">
        <v>86712.854393879956</v>
      </c>
      <c r="K171" s="459">
        <v>40660.07182703165</v>
      </c>
      <c r="L171" s="459">
        <v>234298.7</v>
      </c>
      <c r="M171" s="459">
        <v>305102.45999999996</v>
      </c>
      <c r="N171" s="459">
        <v>448282.23</v>
      </c>
      <c r="O171" s="473">
        <f>SUM(Taulukko8[[#This Row],[Muiden kuin pakolaisten osuus kotoutumiskoulutuksista,  €]:[Palkkatuki, yksityinen, €]])</f>
        <v>1579713.0098947482</v>
      </c>
      <c r="P171" s="459">
        <f>Taulukko8[[#This Row],[Palvelut yhteensä, €]]/Taulukko8[[#This Row],[Työttömät 2022]]</f>
        <v>1033.8435928630552</v>
      </c>
      <c r="Q171" s="473">
        <v>1259199.8584282456</v>
      </c>
      <c r="R171" s="459">
        <f>Taulukko8[[#This Row],[Toimintamenot, arvio]]/Taulukko8[[#This Row],[Työttömät 2022]]</f>
        <v>824.08367698183611</v>
      </c>
      <c r="S171" s="473">
        <f>Taulukko8[[#This Row],[Palvelut yhteensä, €]]+Taulukko8[[#This Row],[Toimintamenot, arvio]]</f>
        <v>2838912.8683229936</v>
      </c>
      <c r="T171" s="481">
        <f>(Taulukko8[[#This Row],[Palvelut + toimintamenot]]/$S$6)*$T$1</f>
        <v>2983237.090871051</v>
      </c>
      <c r="U171" s="483">
        <f>Taulukko8[[#This Row],[Palvelut + toimintamenot, skaalattu siirtyvän rahoituksen tasoon]]*0.5</f>
        <v>1491618.5454355255</v>
      </c>
    </row>
    <row r="172" spans="1:21">
      <c r="A172" s="465">
        <v>545</v>
      </c>
      <c r="B172" s="456" t="s">
        <v>177</v>
      </c>
      <c r="C172" s="459">
        <v>9584</v>
      </c>
      <c r="D172" s="459">
        <v>4449</v>
      </c>
      <c r="E172" s="459">
        <v>161</v>
      </c>
      <c r="F172" s="459">
        <v>64235</v>
      </c>
      <c r="G172" s="459">
        <v>5351.9046121206529</v>
      </c>
      <c r="H172" s="459">
        <v>3211.1427672723917</v>
      </c>
      <c r="I172" s="459">
        <v>14289.27736924638</v>
      </c>
      <c r="J172" s="459">
        <v>25364.010952380951</v>
      </c>
      <c r="K172" s="459">
        <v>7003.4553705899789</v>
      </c>
      <c r="L172" s="459">
        <v>35935.94</v>
      </c>
      <c r="M172" s="459">
        <v>47504.799999999996</v>
      </c>
      <c r="N172" s="459">
        <v>74780.75</v>
      </c>
      <c r="O172" s="473">
        <f>SUM(Taulukko8[[#This Row],[Muiden kuin pakolaisten osuus kotoutumiskoulutuksista,  €]:[Palkkatuki, yksityinen, €]])</f>
        <v>208089.37645948969</v>
      </c>
      <c r="P172" s="459">
        <f>Taulukko8[[#This Row],[Palvelut yhteensä, €]]/Taulukko8[[#This Row],[Työttömät 2022]]</f>
        <v>1292.4805991272651</v>
      </c>
      <c r="Q172" s="473">
        <v>205928.61618858023</v>
      </c>
      <c r="R172" s="459">
        <f>Taulukko8[[#This Row],[Toimintamenot, arvio]]/Taulukko8[[#This Row],[Työttömät 2022]]</f>
        <v>1279.0597278793803</v>
      </c>
      <c r="S172" s="473">
        <f>Taulukko8[[#This Row],[Palvelut yhteensä, €]]+Taulukko8[[#This Row],[Toimintamenot, arvio]]</f>
        <v>414017.99264806992</v>
      </c>
      <c r="T172" s="481">
        <f>(Taulukko8[[#This Row],[Palvelut + toimintamenot]]/$S$6)*$T$1</f>
        <v>435065.77667010558</v>
      </c>
      <c r="U172" s="483">
        <f>Taulukko8[[#This Row],[Palvelut + toimintamenot, skaalattu siirtyvän rahoituksen tasoon]]*0.5</f>
        <v>217532.88833505279</v>
      </c>
    </row>
    <row r="173" spans="1:21">
      <c r="A173" s="465">
        <v>560</v>
      </c>
      <c r="B173" s="456" t="s">
        <v>178</v>
      </c>
      <c r="C173" s="459">
        <v>15735</v>
      </c>
      <c r="D173" s="459">
        <v>7203</v>
      </c>
      <c r="E173" s="459">
        <v>724</v>
      </c>
      <c r="F173" s="459">
        <v>203089</v>
      </c>
      <c r="G173" s="459">
        <v>134724.62584983464</v>
      </c>
      <c r="H173" s="459">
        <v>80834.775509900777</v>
      </c>
      <c r="I173" s="459">
        <v>65333.774896909323</v>
      </c>
      <c r="J173" s="459">
        <v>36237.280724852069</v>
      </c>
      <c r="K173" s="459">
        <v>9847.8021519823778</v>
      </c>
      <c r="L173" s="459">
        <v>85314.880000000005</v>
      </c>
      <c r="M173" s="459">
        <v>107876.16</v>
      </c>
      <c r="N173" s="459">
        <v>567433.24</v>
      </c>
      <c r="O173" s="473">
        <f>SUM(Taulukko8[[#This Row],[Muiden kuin pakolaisten osuus kotoutumiskoulutuksista,  €]:[Palkkatuki, yksityinen, €]])</f>
        <v>952877.91328364459</v>
      </c>
      <c r="P173" s="459">
        <f>Taulukko8[[#This Row],[Palvelut yhteensä, €]]/Taulukko8[[#This Row],[Työttömät 2022]]</f>
        <v>1316.1297144801722</v>
      </c>
      <c r="Q173" s="473">
        <v>596796.06122497574</v>
      </c>
      <c r="R173" s="459">
        <f>Taulukko8[[#This Row],[Toimintamenot, arvio]]/Taulukko8[[#This Row],[Työttömät 2022]]</f>
        <v>824.30395196819859</v>
      </c>
      <c r="S173" s="473">
        <f>Taulukko8[[#This Row],[Palvelut yhteensä, €]]+Taulukko8[[#This Row],[Toimintamenot, arvio]]</f>
        <v>1549673.9745086203</v>
      </c>
      <c r="T173" s="481">
        <f>(Taulukko8[[#This Row],[Palvelut + toimintamenot]]/$S$6)*$T$1</f>
        <v>1628456.0653820301</v>
      </c>
      <c r="U173" s="483">
        <f>Taulukko8[[#This Row],[Palvelut + toimintamenot, skaalattu siirtyvän rahoituksen tasoon]]*0.5</f>
        <v>814228.03269101505</v>
      </c>
    </row>
    <row r="174" spans="1:21">
      <c r="A174" s="465">
        <v>561</v>
      </c>
      <c r="B174" s="456" t="s">
        <v>179</v>
      </c>
      <c r="C174" s="459">
        <v>1317</v>
      </c>
      <c r="D174" s="459">
        <v>591</v>
      </c>
      <c r="E174" s="459">
        <v>40</v>
      </c>
      <c r="F174" s="459">
        <v>12957</v>
      </c>
      <c r="G174" s="459">
        <v>3048.4659111186879</v>
      </c>
      <c r="H174" s="459">
        <v>1829.0795466712127</v>
      </c>
      <c r="I174" s="459">
        <v>1950.3023612650243</v>
      </c>
      <c r="J174" s="459">
        <v>3794.0765771144274</v>
      </c>
      <c r="K174" s="459">
        <v>376.17497231450722</v>
      </c>
      <c r="L174" s="459">
        <v>32613.21</v>
      </c>
      <c r="M174" s="459">
        <v>15862.599999999999</v>
      </c>
      <c r="N174" s="459">
        <v>21895.82</v>
      </c>
      <c r="O174" s="473">
        <f>SUM(Taulukko8[[#This Row],[Muiden kuin pakolaisten osuus kotoutumiskoulutuksista,  €]:[Palkkatuki, yksityinen, €]])</f>
        <v>78321.263457365159</v>
      </c>
      <c r="P174" s="459">
        <f>Taulukko8[[#This Row],[Palvelut yhteensä, €]]/Taulukko8[[#This Row],[Työttömät 2022]]</f>
        <v>1958.0315864341289</v>
      </c>
      <c r="Q174" s="473">
        <v>36368.035742383603</v>
      </c>
      <c r="R174" s="459">
        <f>Taulukko8[[#This Row],[Toimintamenot, arvio]]/Taulukko8[[#This Row],[Työttömät 2022]]</f>
        <v>909.2008935595901</v>
      </c>
      <c r="S174" s="473">
        <f>Taulukko8[[#This Row],[Palvelut yhteensä, €]]+Taulukko8[[#This Row],[Toimintamenot, arvio]]</f>
        <v>114689.29919974876</v>
      </c>
      <c r="T174" s="481">
        <f>(Taulukko8[[#This Row],[Palvelut + toimintamenot]]/$S$6)*$T$1</f>
        <v>120519.85642687604</v>
      </c>
      <c r="U174" s="483">
        <f>Taulukko8[[#This Row],[Palvelut + toimintamenot, skaalattu siirtyvän rahoituksen tasoon]]*0.5</f>
        <v>60259.928213438019</v>
      </c>
    </row>
    <row r="175" spans="1:21">
      <c r="A175" s="465">
        <v>562</v>
      </c>
      <c r="B175" s="456" t="s">
        <v>180</v>
      </c>
      <c r="C175" s="459">
        <v>8935</v>
      </c>
      <c r="D175" s="459">
        <v>3816</v>
      </c>
      <c r="E175" s="459">
        <v>329</v>
      </c>
      <c r="F175" s="459">
        <v>115085</v>
      </c>
      <c r="G175" s="459">
        <v>37833.399597296135</v>
      </c>
      <c r="H175" s="459">
        <v>22700.039758377679</v>
      </c>
      <c r="I175" s="459">
        <v>55084.239292391772</v>
      </c>
      <c r="J175" s="459">
        <v>20854.420377358492</v>
      </c>
      <c r="K175" s="459">
        <v>2887.416928779206</v>
      </c>
      <c r="L175" s="459">
        <v>87685.75</v>
      </c>
      <c r="M175" s="459">
        <v>61440.36</v>
      </c>
      <c r="N175" s="459">
        <v>169465.65</v>
      </c>
      <c r="O175" s="473">
        <f>SUM(Taulukko8[[#This Row],[Muiden kuin pakolaisten osuus kotoutumiskoulutuksista,  €]:[Palkkatuki, yksityinen, €]])</f>
        <v>420117.87635690719</v>
      </c>
      <c r="P175" s="459">
        <f>Taulukko8[[#This Row],[Palvelut yhteensä, €]]/Taulukko8[[#This Row],[Työttömät 2022]]</f>
        <v>1276.954031479961</v>
      </c>
      <c r="Q175" s="473">
        <v>315588.31719013239</v>
      </c>
      <c r="R175" s="459">
        <f>Taulukko8[[#This Row],[Toimintamenot, arvio]]/Taulukko8[[#This Row],[Työttömät 2022]]</f>
        <v>959.23500665693734</v>
      </c>
      <c r="S175" s="473">
        <f>Taulukko8[[#This Row],[Palvelut yhteensä, €]]+Taulukko8[[#This Row],[Toimintamenot, arvio]]</f>
        <v>735706.19354703953</v>
      </c>
      <c r="T175" s="481">
        <f>(Taulukko8[[#This Row],[Palvelut + toimintamenot]]/$S$6)*$T$1</f>
        <v>773107.91361821245</v>
      </c>
      <c r="U175" s="483">
        <f>Taulukko8[[#This Row],[Palvelut + toimintamenot, skaalattu siirtyvän rahoituksen tasoon]]*0.5</f>
        <v>386553.95680910622</v>
      </c>
    </row>
    <row r="176" spans="1:21">
      <c r="A176" s="465">
        <v>563</v>
      </c>
      <c r="B176" s="456" t="s">
        <v>181</v>
      </c>
      <c r="C176" s="459">
        <v>7025</v>
      </c>
      <c r="D176" s="459">
        <v>2911</v>
      </c>
      <c r="E176" s="459">
        <v>223</v>
      </c>
      <c r="F176" s="459">
        <v>79214</v>
      </c>
      <c r="G176" s="459">
        <v>26143.03411464392</v>
      </c>
      <c r="H176" s="459">
        <v>15685.820468786351</v>
      </c>
      <c r="I176" s="459">
        <v>71979.917628279698</v>
      </c>
      <c r="J176" s="459">
        <v>3222.3532947976878</v>
      </c>
      <c r="K176" s="459">
        <v>2583.4415906782833</v>
      </c>
      <c r="L176" s="459">
        <v>225003.22</v>
      </c>
      <c r="M176" s="459">
        <v>24337.919999999998</v>
      </c>
      <c r="N176" s="459">
        <v>179000.97999999998</v>
      </c>
      <c r="O176" s="473">
        <f>SUM(Taulukko8[[#This Row],[Muiden kuin pakolaisten osuus kotoutumiskoulutuksista,  €]:[Palkkatuki, yksityinen, €]])</f>
        <v>521813.652982542</v>
      </c>
      <c r="P176" s="459">
        <f>Taulukko8[[#This Row],[Palvelut yhteensä, €]]/Taulukko8[[#This Row],[Työttömät 2022]]</f>
        <v>2339.971538038305</v>
      </c>
      <c r="Q176" s="473">
        <v>224539.08494604143</v>
      </c>
      <c r="R176" s="459">
        <f>Taulukko8[[#This Row],[Toimintamenot, arvio]]/Taulukko8[[#This Row],[Työttömät 2022]]</f>
        <v>1006.9017262154324</v>
      </c>
      <c r="S176" s="473">
        <f>Taulukko8[[#This Row],[Palvelut yhteensä, €]]+Taulukko8[[#This Row],[Toimintamenot, arvio]]</f>
        <v>746352.7379285834</v>
      </c>
      <c r="T176" s="481">
        <f>(Taulukko8[[#This Row],[Palvelut + toimintamenot]]/$S$6)*$T$1</f>
        <v>784295.70541098714</v>
      </c>
      <c r="U176" s="483">
        <f>Taulukko8[[#This Row],[Palvelut + toimintamenot, skaalattu siirtyvän rahoituksen tasoon]]*0.5</f>
        <v>392147.85270549357</v>
      </c>
    </row>
    <row r="177" spans="1:21">
      <c r="A177" s="465">
        <v>564</v>
      </c>
      <c r="B177" s="456" t="s">
        <v>182</v>
      </c>
      <c r="C177" s="459">
        <v>211848</v>
      </c>
      <c r="D177" s="459">
        <v>102841</v>
      </c>
      <c r="E177" s="459">
        <v>11529</v>
      </c>
      <c r="F177" s="459">
        <v>3513311</v>
      </c>
      <c r="G177" s="459">
        <v>1445175.3353497803</v>
      </c>
      <c r="H177" s="459">
        <v>867105.20120986819</v>
      </c>
      <c r="I177" s="459">
        <v>3979017.9342125501</v>
      </c>
      <c r="J177" s="459">
        <v>193341.19768786128</v>
      </c>
      <c r="K177" s="459">
        <v>133562.77174408041</v>
      </c>
      <c r="L177" s="459">
        <v>1372826.1800000002</v>
      </c>
      <c r="M177" s="459">
        <v>1102226.6399999999</v>
      </c>
      <c r="N177" s="459">
        <v>6611154.0999999996</v>
      </c>
      <c r="O177" s="473">
        <f>SUM(Taulukko8[[#This Row],[Muiden kuin pakolaisten osuus kotoutumiskoulutuksista,  €]:[Palkkatuki, yksityinen, €]])</f>
        <v>14259234.024854358</v>
      </c>
      <c r="P177" s="459">
        <f>Taulukko8[[#This Row],[Palvelut yhteensä, €]]/Taulukko8[[#This Row],[Työttömät 2022]]</f>
        <v>1236.8144700194603</v>
      </c>
      <c r="Q177" s="473">
        <v>9958790.5808425508</v>
      </c>
      <c r="R177" s="459">
        <f>Taulukko8[[#This Row],[Toimintamenot, arvio]]/Taulukko8[[#This Row],[Työttömät 2022]]</f>
        <v>863.80350254510802</v>
      </c>
      <c r="S177" s="473">
        <f>Taulukko8[[#This Row],[Palvelut yhteensä, €]]+Taulukko8[[#This Row],[Toimintamenot, arvio]]</f>
        <v>24218024.605696909</v>
      </c>
      <c r="T177" s="481">
        <f>(Taulukko8[[#This Row],[Palvelut + toimintamenot]]/$S$6)*$T$1</f>
        <v>25449216.873648286</v>
      </c>
      <c r="U177" s="483">
        <f>Taulukko8[[#This Row],[Palvelut + toimintamenot, skaalattu siirtyvän rahoituksen tasoon]]*0.5</f>
        <v>12724608.436824143</v>
      </c>
    </row>
    <row r="178" spans="1:21">
      <c r="A178" s="465">
        <v>576</v>
      </c>
      <c r="B178" s="456" t="s">
        <v>183</v>
      </c>
      <c r="C178" s="459">
        <v>2750</v>
      </c>
      <c r="D178" s="459">
        <v>1061</v>
      </c>
      <c r="E178" s="459">
        <v>120</v>
      </c>
      <c r="F178" s="459">
        <v>35094</v>
      </c>
      <c r="G178" s="459">
        <v>21200.947526231987</v>
      </c>
      <c r="H178" s="459">
        <v>12720.568515739191</v>
      </c>
      <c r="I178" s="459">
        <v>10281.252774262035</v>
      </c>
      <c r="J178" s="459">
        <v>8526.4189940828401</v>
      </c>
      <c r="K178" s="459">
        <v>1632.2324008810572</v>
      </c>
      <c r="L178" s="459">
        <v>42906.239999999998</v>
      </c>
      <c r="M178" s="459">
        <v>3808.12</v>
      </c>
      <c r="N178" s="459">
        <v>71964.37</v>
      </c>
      <c r="O178" s="473">
        <f>SUM(Taulukko8[[#This Row],[Muiden kuin pakolaisten osuus kotoutumiskoulutuksista,  €]:[Palkkatuki, yksityinen, €]])</f>
        <v>151839.2026849651</v>
      </c>
      <c r="P178" s="459">
        <f>Taulukko8[[#This Row],[Palvelut yhteensä, €]]/Taulukko8[[#This Row],[Työttömät 2022]]</f>
        <v>1265.3266890413759</v>
      </c>
      <c r="Q178" s="473">
        <v>103127.00822117052</v>
      </c>
      <c r="R178" s="459">
        <f>Taulukko8[[#This Row],[Toimintamenot, arvio]]/Taulukko8[[#This Row],[Työttömät 2022]]</f>
        <v>859.39173517642098</v>
      </c>
      <c r="S178" s="473">
        <f>Taulukko8[[#This Row],[Palvelut yhteensä, €]]+Taulukko8[[#This Row],[Toimintamenot, arvio]]</f>
        <v>254966.21090613562</v>
      </c>
      <c r="T178" s="481">
        <f>(Taulukko8[[#This Row],[Palvelut + toimintamenot]]/$S$6)*$T$1</f>
        <v>267928.14453067456</v>
      </c>
      <c r="U178" s="483">
        <f>Taulukko8[[#This Row],[Palvelut + toimintamenot, skaalattu siirtyvän rahoituksen tasoon]]*0.5</f>
        <v>133964.07226533728</v>
      </c>
    </row>
    <row r="179" spans="1:21">
      <c r="A179" s="465">
        <v>577</v>
      </c>
      <c r="B179" s="456" t="s">
        <v>184</v>
      </c>
      <c r="C179" s="459">
        <v>11138</v>
      </c>
      <c r="D179" s="459">
        <v>5157</v>
      </c>
      <c r="E179" s="459">
        <v>227</v>
      </c>
      <c r="F179" s="459">
        <v>90978</v>
      </c>
      <c r="G179" s="459">
        <v>51558.83649674651</v>
      </c>
      <c r="H179" s="459">
        <v>30935.301898047903</v>
      </c>
      <c r="I179" s="459">
        <v>32985.548631830192</v>
      </c>
      <c r="J179" s="459">
        <v>15176.30630845771</v>
      </c>
      <c r="K179" s="459">
        <v>2134.7929678848286</v>
      </c>
      <c r="L179" s="459">
        <v>147247.85999999999</v>
      </c>
      <c r="M179" s="459">
        <v>85369.919999999998</v>
      </c>
      <c r="N179" s="459">
        <v>130208.57</v>
      </c>
      <c r="O179" s="473">
        <f>SUM(Taulukko8[[#This Row],[Muiden kuin pakolaisten osuus kotoutumiskoulutuksista,  €]:[Palkkatuki, yksityinen, €]])</f>
        <v>444058.29980622063</v>
      </c>
      <c r="P179" s="459">
        <f>Taulukko8[[#This Row],[Palvelut yhteensä, €]]/Taulukko8[[#This Row],[Työttömät 2022]]</f>
        <v>1956.2039639040556</v>
      </c>
      <c r="Q179" s="473">
        <v>255359.35446249714</v>
      </c>
      <c r="R179" s="459">
        <f>Taulukko8[[#This Row],[Toimintamenot, arvio]]/Taulukko8[[#This Row],[Työttömät 2022]]</f>
        <v>1124.9310769273002</v>
      </c>
      <c r="S179" s="473">
        <f>Taulukko8[[#This Row],[Palvelut yhteensä, €]]+Taulukko8[[#This Row],[Toimintamenot, arvio]]</f>
        <v>699417.65426871774</v>
      </c>
      <c r="T179" s="481">
        <f>(Taulukko8[[#This Row],[Palvelut + toimintamenot]]/$S$6)*$T$1</f>
        <v>734974.54307465989</v>
      </c>
      <c r="U179" s="483">
        <f>Taulukko8[[#This Row],[Palvelut + toimintamenot, skaalattu siirtyvän rahoituksen tasoon]]*0.5</f>
        <v>367487.27153732994</v>
      </c>
    </row>
    <row r="180" spans="1:21">
      <c r="A180" s="465">
        <v>578</v>
      </c>
      <c r="B180" s="456" t="s">
        <v>185</v>
      </c>
      <c r="C180" s="459">
        <v>3100</v>
      </c>
      <c r="D180" s="459">
        <v>1267</v>
      </c>
      <c r="E180" s="459">
        <v>134</v>
      </c>
      <c r="F180" s="459">
        <v>44418</v>
      </c>
      <c r="G180" s="459">
        <v>28518.775614973263</v>
      </c>
      <c r="H180" s="459">
        <v>17111.265368983957</v>
      </c>
      <c r="I180" s="459">
        <v>30253.437604278075</v>
      </c>
      <c r="J180" s="459">
        <v>6671.4178378378383</v>
      </c>
      <c r="K180" s="459">
        <v>891.81030431705585</v>
      </c>
      <c r="L180" s="459">
        <v>78234.7</v>
      </c>
      <c r="M180" s="459">
        <v>16155.8</v>
      </c>
      <c r="N180" s="459">
        <v>118897.27</v>
      </c>
      <c r="O180" s="473">
        <f>SUM(Taulukko8[[#This Row],[Muiden kuin pakolaisten osuus kotoutumiskoulutuksista,  €]:[Palkkatuki, yksityinen, €]])</f>
        <v>268215.70111541694</v>
      </c>
      <c r="P180" s="459">
        <f>Taulukko8[[#This Row],[Palvelut yhteensä, €]]/Taulukko8[[#This Row],[Työttömät 2022]]</f>
        <v>2001.6097098165444</v>
      </c>
      <c r="Q180" s="473">
        <v>157844.54605235287</v>
      </c>
      <c r="R180" s="459">
        <f>Taulukko8[[#This Row],[Toimintamenot, arvio]]/Taulukko8[[#This Row],[Työttömät 2022]]</f>
        <v>1177.9443735250215</v>
      </c>
      <c r="S180" s="473">
        <f>Taulukko8[[#This Row],[Palvelut yhteensä, €]]+Taulukko8[[#This Row],[Toimintamenot, arvio]]</f>
        <v>426060.24716776982</v>
      </c>
      <c r="T180" s="481">
        <f>(Taulukko8[[#This Row],[Palvelut + toimintamenot]]/$S$6)*$T$1</f>
        <v>447720.23350170953</v>
      </c>
      <c r="U180" s="483">
        <f>Taulukko8[[#This Row],[Palvelut + toimintamenot, skaalattu siirtyvän rahoituksen tasoon]]*0.5</f>
        <v>223860.11675085477</v>
      </c>
    </row>
    <row r="181" spans="1:21">
      <c r="A181" s="465">
        <v>580</v>
      </c>
      <c r="B181" s="456" t="s">
        <v>186</v>
      </c>
      <c r="C181" s="459">
        <v>4438</v>
      </c>
      <c r="D181" s="459">
        <v>1711</v>
      </c>
      <c r="E181" s="459">
        <v>164</v>
      </c>
      <c r="F181" s="459">
        <v>55666</v>
      </c>
      <c r="G181" s="459">
        <v>13918.567155131081</v>
      </c>
      <c r="H181" s="459">
        <v>8351.140293078648</v>
      </c>
      <c r="I181" s="459">
        <v>17997.749859808602</v>
      </c>
      <c r="J181" s="459">
        <v>33278.777264150944</v>
      </c>
      <c r="K181" s="459">
        <v>1634.0324762801479</v>
      </c>
      <c r="L181" s="459">
        <v>40538.57</v>
      </c>
      <c r="M181" s="459">
        <v>10519.92</v>
      </c>
      <c r="N181" s="459">
        <v>58175.63</v>
      </c>
      <c r="O181" s="473">
        <f>SUM(Taulukko8[[#This Row],[Muiden kuin pakolaisten osuus kotoutumiskoulutuksista,  €]:[Palkkatuki, yksityinen, €]])</f>
        <v>170495.81989331834</v>
      </c>
      <c r="P181" s="459">
        <f>Taulukko8[[#This Row],[Palvelut yhteensä, €]]/Taulukko8[[#This Row],[Työttömät 2022]]</f>
        <v>1039.6086578860875</v>
      </c>
      <c r="Q181" s="473">
        <v>177713.74891331905</v>
      </c>
      <c r="R181" s="459">
        <f>Taulukko8[[#This Row],[Toimintamenot, arvio]]/Taulukko8[[#This Row],[Työttömät 2022]]</f>
        <v>1083.6204202031649</v>
      </c>
      <c r="S181" s="473">
        <f>Taulukko8[[#This Row],[Palvelut yhteensä, €]]+Taulukko8[[#This Row],[Toimintamenot, arvio]]</f>
        <v>348209.56880663743</v>
      </c>
      <c r="T181" s="481">
        <f>(Taulukko8[[#This Row],[Palvelut + toimintamenot]]/$S$6)*$T$1</f>
        <v>365911.79414175282</v>
      </c>
      <c r="U181" s="483">
        <f>Taulukko8[[#This Row],[Palvelut + toimintamenot, skaalattu siirtyvän rahoituksen tasoon]]*0.5</f>
        <v>182955.89707087641</v>
      </c>
    </row>
    <row r="182" spans="1:21">
      <c r="A182" s="465">
        <v>581</v>
      </c>
      <c r="B182" s="456" t="s">
        <v>187</v>
      </c>
      <c r="C182" s="459">
        <v>6240</v>
      </c>
      <c r="D182" s="459">
        <v>2483</v>
      </c>
      <c r="E182" s="459">
        <v>210</v>
      </c>
      <c r="F182" s="459">
        <v>78031</v>
      </c>
      <c r="G182" s="459">
        <v>15426.26357773623</v>
      </c>
      <c r="H182" s="459">
        <v>9255.7581466417378</v>
      </c>
      <c r="I182" s="459">
        <v>22460.154343736514</v>
      </c>
      <c r="J182" s="459">
        <v>10427.210188679246</v>
      </c>
      <c r="K182" s="459">
        <v>1843.0320821994931</v>
      </c>
      <c r="L182" s="459">
        <v>121114.18</v>
      </c>
      <c r="M182" s="459">
        <v>35346.020000000004</v>
      </c>
      <c r="N182" s="459">
        <v>310523.40000000002</v>
      </c>
      <c r="O182" s="473">
        <f>SUM(Taulukko8[[#This Row],[Muiden kuin pakolaisten osuus kotoutumiskoulutuksista,  €]:[Palkkatuki, yksityinen, €]])</f>
        <v>510969.75476125703</v>
      </c>
      <c r="P182" s="459">
        <f>Taulukko8[[#This Row],[Palvelut yhteensä, €]]/Taulukko8[[#This Row],[Työttömät 2022]]</f>
        <v>2433.1893083869381</v>
      </c>
      <c r="Q182" s="473">
        <v>213978.12033421575</v>
      </c>
      <c r="R182" s="459">
        <f>Taulukko8[[#This Row],[Toimintamenot, arvio]]/Taulukko8[[#This Row],[Työttömät 2022]]</f>
        <v>1018.9434301629321</v>
      </c>
      <c r="S182" s="473">
        <f>Taulukko8[[#This Row],[Palvelut yhteensä, €]]+Taulukko8[[#This Row],[Toimintamenot, arvio]]</f>
        <v>724947.87509547279</v>
      </c>
      <c r="T182" s="481">
        <f>(Taulukko8[[#This Row],[Palvelut + toimintamenot]]/$S$6)*$T$1</f>
        <v>761802.66540216736</v>
      </c>
      <c r="U182" s="483">
        <f>Taulukko8[[#This Row],[Palvelut + toimintamenot, skaalattu siirtyvän rahoituksen tasoon]]*0.5</f>
        <v>380901.33270108368</v>
      </c>
    </row>
    <row r="183" spans="1:21">
      <c r="A183" s="465">
        <v>583</v>
      </c>
      <c r="B183" s="456" t="s">
        <v>188</v>
      </c>
      <c r="C183" s="459">
        <v>947</v>
      </c>
      <c r="D183" s="459">
        <v>377</v>
      </c>
      <c r="E183" s="459">
        <v>45</v>
      </c>
      <c r="F183" s="459">
        <v>17400</v>
      </c>
      <c r="G183" s="459">
        <v>394.76578517240256</v>
      </c>
      <c r="H183" s="459">
        <v>236.85947110344154</v>
      </c>
      <c r="I183" s="459">
        <v>802.90737082017381</v>
      </c>
      <c r="J183" s="459">
        <v>13455.615649484536</v>
      </c>
      <c r="K183" s="459">
        <v>2281.3909934562762</v>
      </c>
      <c r="L183" s="459">
        <v>29111.15</v>
      </c>
      <c r="M183" s="459">
        <v>23663.200000000001</v>
      </c>
      <c r="N183" s="459">
        <v>16820.39</v>
      </c>
      <c r="O183" s="473">
        <f>SUM(Taulukko8[[#This Row],[Muiden kuin pakolaisten osuus kotoutumiskoulutuksista,  €]:[Palkkatuki, yksityinen, €]])</f>
        <v>86371.513484864423</v>
      </c>
      <c r="P183" s="459">
        <f>Taulukko8[[#This Row],[Palvelut yhteensä, €]]/Taulukko8[[#This Row],[Työttömät 2022]]</f>
        <v>1919.3669663303206</v>
      </c>
      <c r="Q183" s="473">
        <v>62137.298992108779</v>
      </c>
      <c r="R183" s="459">
        <f>Taulukko8[[#This Row],[Toimintamenot, arvio]]/Taulukko8[[#This Row],[Työttömät 2022]]</f>
        <v>1380.8288664913061</v>
      </c>
      <c r="S183" s="473">
        <f>Taulukko8[[#This Row],[Palvelut yhteensä, €]]+Taulukko8[[#This Row],[Toimintamenot, arvio]]</f>
        <v>148508.81247697319</v>
      </c>
      <c r="T183" s="481">
        <f>(Taulukko8[[#This Row],[Palvelut + toimintamenot]]/$S$6)*$T$1</f>
        <v>156058.68099933318</v>
      </c>
      <c r="U183" s="483">
        <f>Taulukko8[[#This Row],[Palvelut + toimintamenot, skaalattu siirtyvän rahoituksen tasoon]]*0.5</f>
        <v>78029.340499666592</v>
      </c>
    </row>
    <row r="184" spans="1:21">
      <c r="A184" s="465">
        <v>584</v>
      </c>
      <c r="B184" s="456" t="s">
        <v>189</v>
      </c>
      <c r="C184" s="459">
        <v>2653</v>
      </c>
      <c r="D184" s="459">
        <v>985</v>
      </c>
      <c r="E184" s="459">
        <v>77</v>
      </c>
      <c r="F184" s="459">
        <v>24352</v>
      </c>
      <c r="G184" s="459">
        <v>950.66726662669487</v>
      </c>
      <c r="H184" s="459">
        <v>570.40035997601694</v>
      </c>
      <c r="I184" s="459">
        <v>2538.2269011161329</v>
      </c>
      <c r="J184" s="459">
        <v>2818.2234391534389</v>
      </c>
      <c r="K184" s="459">
        <v>3349.4786554995558</v>
      </c>
      <c r="L184" s="459">
        <v>35077.43</v>
      </c>
      <c r="M184" s="459">
        <v>15532.8</v>
      </c>
      <c r="N184" s="459">
        <v>47892.93</v>
      </c>
      <c r="O184" s="473">
        <f>SUM(Taulukko8[[#This Row],[Muiden kuin pakolaisten osuus kotoutumiskoulutuksista,  €]:[Palkkatuki, yksityinen, €]])</f>
        <v>107779.48935574514</v>
      </c>
      <c r="P184" s="459">
        <f>Taulukko8[[#This Row],[Palvelut yhteensä, €]]/Taulukko8[[#This Row],[Työttömät 2022]]</f>
        <v>1399.7336279966901</v>
      </c>
      <c r="Q184" s="473">
        <v>78069.178196066103</v>
      </c>
      <c r="R184" s="459">
        <f>Taulukko8[[#This Row],[Toimintamenot, arvio]]/Taulukko8[[#This Row],[Työttömät 2022]]</f>
        <v>1013.8854311177416</v>
      </c>
      <c r="S184" s="473">
        <f>Taulukko8[[#This Row],[Palvelut yhteensä, €]]+Taulukko8[[#This Row],[Toimintamenot, arvio]]</f>
        <v>185848.66755181126</v>
      </c>
      <c r="T184" s="481">
        <f>(Taulukko8[[#This Row],[Palvelut + toimintamenot]]/$S$6)*$T$1</f>
        <v>195296.81397268121</v>
      </c>
      <c r="U184" s="483">
        <f>Taulukko8[[#This Row],[Palvelut + toimintamenot, skaalattu siirtyvän rahoituksen tasoon]]*0.5</f>
        <v>97648.406986340604</v>
      </c>
    </row>
    <row r="185" spans="1:21">
      <c r="A185" s="465">
        <v>588</v>
      </c>
      <c r="B185" s="456" t="s">
        <v>190</v>
      </c>
      <c r="C185" s="459">
        <v>1600</v>
      </c>
      <c r="D185" s="459">
        <v>625</v>
      </c>
      <c r="E185" s="459">
        <v>61</v>
      </c>
      <c r="F185" s="459">
        <v>19449</v>
      </c>
      <c r="G185" s="459">
        <v>6337.5051953580987</v>
      </c>
      <c r="H185" s="459">
        <v>3802.5031172148592</v>
      </c>
      <c r="I185" s="459">
        <v>12055.609860605646</v>
      </c>
      <c r="J185" s="459">
        <v>4339.454912280702</v>
      </c>
      <c r="K185" s="459">
        <v>5517.1252923076918</v>
      </c>
      <c r="L185" s="459">
        <v>25767.85</v>
      </c>
      <c r="M185" s="459">
        <v>11167.4</v>
      </c>
      <c r="N185" s="459">
        <v>84869.81</v>
      </c>
      <c r="O185" s="473">
        <f>SUM(Taulukko8[[#This Row],[Muiden kuin pakolaisten osuus kotoutumiskoulutuksista,  €]:[Palkkatuki, yksityinen, €]])</f>
        <v>147519.75318240889</v>
      </c>
      <c r="P185" s="459">
        <f>Taulukko8[[#This Row],[Palvelut yhteensä, €]]/Taulukko8[[#This Row],[Työttömät 2022]]</f>
        <v>2418.3566095476867</v>
      </c>
      <c r="Q185" s="473">
        <v>62358.463210191396</v>
      </c>
      <c r="R185" s="459">
        <f>Taulukko8[[#This Row],[Toimintamenot, arvio]]/Taulukko8[[#This Row],[Työttömät 2022]]</f>
        <v>1022.2698886916622</v>
      </c>
      <c r="S185" s="473">
        <f>Taulukko8[[#This Row],[Palvelut yhteensä, €]]+Taulukko8[[#This Row],[Toimintamenot, arvio]]</f>
        <v>209878.2163926003</v>
      </c>
      <c r="T185" s="481">
        <f>(Taulukko8[[#This Row],[Palvelut + toimintamenot]]/$S$6)*$T$1</f>
        <v>220547.97337902317</v>
      </c>
      <c r="U185" s="483">
        <f>Taulukko8[[#This Row],[Palvelut + toimintamenot, skaalattu siirtyvän rahoituksen tasoon]]*0.5</f>
        <v>110273.98668951158</v>
      </c>
    </row>
    <row r="186" spans="1:21">
      <c r="A186" s="465">
        <v>592</v>
      </c>
      <c r="B186" s="456" t="s">
        <v>191</v>
      </c>
      <c r="C186" s="459">
        <v>3651</v>
      </c>
      <c r="D186" s="459">
        <v>1643</v>
      </c>
      <c r="E186" s="459">
        <v>161</v>
      </c>
      <c r="F186" s="459">
        <v>52356</v>
      </c>
      <c r="G186" s="459">
        <v>19851.353595735258</v>
      </c>
      <c r="H186" s="459">
        <v>11910.812157441154</v>
      </c>
      <c r="I186" s="459">
        <v>68807.627765779878</v>
      </c>
      <c r="J186" s="459">
        <v>6664.9613215859035</v>
      </c>
      <c r="K186" s="459">
        <v>1946.1983951477971</v>
      </c>
      <c r="L186" s="459">
        <v>44183.850000000006</v>
      </c>
      <c r="M186" s="459">
        <v>22478.9</v>
      </c>
      <c r="N186" s="459">
        <v>64535.909999999996</v>
      </c>
      <c r="O186" s="473">
        <f>SUM(Taulukko8[[#This Row],[Muiden kuin pakolaisten osuus kotoutumiskoulutuksista,  €]:[Palkkatuki, yksityinen, €]])</f>
        <v>220528.25963995472</v>
      </c>
      <c r="P186" s="459">
        <f>Taulukko8[[#This Row],[Palvelut yhteensä, €]]/Taulukko8[[#This Row],[Työttömät 2022]]</f>
        <v>1369.7407431053089</v>
      </c>
      <c r="Q186" s="473">
        <v>151125.88280925341</v>
      </c>
      <c r="R186" s="459">
        <f>Taulukko8[[#This Row],[Toimintamenot, arvio]]/Taulukko8[[#This Row],[Työttömät 2022]]</f>
        <v>938.67007956058023</v>
      </c>
      <c r="S186" s="473">
        <f>Taulukko8[[#This Row],[Palvelut yhteensä, €]]+Taulukko8[[#This Row],[Toimintamenot, arvio]]</f>
        <v>371654.14244920813</v>
      </c>
      <c r="T186" s="481">
        <f>(Taulukko8[[#This Row],[Palvelut + toimintamenot]]/$S$6)*$T$1</f>
        <v>390548.23946932296</v>
      </c>
      <c r="U186" s="483">
        <f>Taulukko8[[#This Row],[Palvelut + toimintamenot, skaalattu siirtyvän rahoituksen tasoon]]*0.5</f>
        <v>195274.11973466148</v>
      </c>
    </row>
    <row r="187" spans="1:21">
      <c r="A187" s="465">
        <v>593</v>
      </c>
      <c r="B187" s="456" t="s">
        <v>192</v>
      </c>
      <c r="C187" s="459">
        <v>17077</v>
      </c>
      <c r="D187" s="459">
        <v>6971</v>
      </c>
      <c r="E187" s="459">
        <v>588</v>
      </c>
      <c r="F187" s="459">
        <v>220603</v>
      </c>
      <c r="G187" s="459">
        <v>138972.43535535259</v>
      </c>
      <c r="H187" s="459">
        <v>83383.461213211544</v>
      </c>
      <c r="I187" s="459">
        <v>264362.30194328091</v>
      </c>
      <c r="J187" s="459">
        <v>195275.47105263159</v>
      </c>
      <c r="K187" s="459">
        <v>53181.470030769226</v>
      </c>
      <c r="L187" s="459">
        <v>178211.94</v>
      </c>
      <c r="M187" s="459">
        <v>55869</v>
      </c>
      <c r="N187" s="459">
        <v>397095.56</v>
      </c>
      <c r="O187" s="473">
        <f>SUM(Taulukko8[[#This Row],[Muiden kuin pakolaisten osuus kotoutumiskoulutuksista,  €]:[Palkkatuki, yksityinen, €]])</f>
        <v>1227379.2042398932</v>
      </c>
      <c r="P187" s="459">
        <f>Taulukko8[[#This Row],[Palvelut yhteensä, €]]/Taulukko8[[#This Row],[Työttömät 2022]]</f>
        <v>2087.3795990474373</v>
      </c>
      <c r="Q187" s="473">
        <v>707309.58196091582</v>
      </c>
      <c r="R187" s="459">
        <f>Taulukko8[[#This Row],[Toimintamenot, arvio]]/Taulukko8[[#This Row],[Työttömät 2022]]</f>
        <v>1202.9074523144827</v>
      </c>
      <c r="S187" s="473">
        <f>Taulukko8[[#This Row],[Palvelut yhteensä, €]]+Taulukko8[[#This Row],[Toimintamenot, arvio]]</f>
        <v>1934688.7862008091</v>
      </c>
      <c r="T187" s="481">
        <f>(Taulukko8[[#This Row],[Palvelut + toimintamenot]]/$S$6)*$T$1</f>
        <v>2033044.2017743133</v>
      </c>
      <c r="U187" s="483">
        <f>Taulukko8[[#This Row],[Palvelut + toimintamenot, skaalattu siirtyvän rahoituksen tasoon]]*0.5</f>
        <v>1016522.1008871567</v>
      </c>
    </row>
    <row r="188" spans="1:21">
      <c r="A188" s="465">
        <v>595</v>
      </c>
      <c r="B188" s="456" t="s">
        <v>193</v>
      </c>
      <c r="C188" s="459">
        <v>4140</v>
      </c>
      <c r="D188" s="459">
        <v>1550</v>
      </c>
      <c r="E188" s="459">
        <v>133</v>
      </c>
      <c r="F188" s="459">
        <v>46005</v>
      </c>
      <c r="G188" s="459">
        <v>16696.913395138301</v>
      </c>
      <c r="H188" s="459">
        <v>10018.148037082979</v>
      </c>
      <c r="I188" s="459">
        <v>72428.922451306833</v>
      </c>
      <c r="J188" s="459">
        <v>44918.378412698417</v>
      </c>
      <c r="K188" s="459">
        <v>1557.0188684529921</v>
      </c>
      <c r="L188" s="459">
        <v>37727.440000000002</v>
      </c>
      <c r="M188" s="459">
        <v>35962.740000000005</v>
      </c>
      <c r="N188" s="459">
        <v>59316.95</v>
      </c>
      <c r="O188" s="473">
        <f>SUM(Taulukko8[[#This Row],[Muiden kuin pakolaisten osuus kotoutumiskoulutuksista,  €]:[Palkkatuki, yksityinen, €]])</f>
        <v>261929.59776954126</v>
      </c>
      <c r="P188" s="459">
        <f>Taulukko8[[#This Row],[Palvelut yhteensä, €]]/Taulukko8[[#This Row],[Työttömät 2022]]</f>
        <v>1969.3954719514381</v>
      </c>
      <c r="Q188" s="473">
        <v>142420.07879096267</v>
      </c>
      <c r="R188" s="459">
        <f>Taulukko8[[#This Row],[Toimintamenot, arvio]]/Taulukko8[[#This Row],[Työttömät 2022]]</f>
        <v>1070.8276600824261</v>
      </c>
      <c r="S188" s="473">
        <f>Taulukko8[[#This Row],[Palvelut yhteensä, €]]+Taulukko8[[#This Row],[Toimintamenot, arvio]]</f>
        <v>404349.6765605039</v>
      </c>
      <c r="T188" s="481">
        <f>(Taulukko8[[#This Row],[Palvelut + toimintamenot]]/$S$6)*$T$1</f>
        <v>424905.94419320032</v>
      </c>
      <c r="U188" s="483">
        <f>Taulukko8[[#This Row],[Palvelut + toimintamenot, skaalattu siirtyvän rahoituksen tasoon]]*0.5</f>
        <v>212452.97209660016</v>
      </c>
    </row>
    <row r="189" spans="1:21">
      <c r="A189" s="465">
        <v>598</v>
      </c>
      <c r="B189" s="456" t="s">
        <v>194</v>
      </c>
      <c r="C189" s="459">
        <v>19207</v>
      </c>
      <c r="D189" s="459">
        <v>8643</v>
      </c>
      <c r="E189" s="459">
        <v>591</v>
      </c>
      <c r="F189" s="459">
        <v>241514</v>
      </c>
      <c r="G189" s="459">
        <v>226153.17976086153</v>
      </c>
      <c r="H189" s="459">
        <v>135691.90785651692</v>
      </c>
      <c r="I189" s="459">
        <v>603815.97725440457</v>
      </c>
      <c r="J189" s="459">
        <v>118365.38444444444</v>
      </c>
      <c r="K189" s="459">
        <v>25708.336174029057</v>
      </c>
      <c r="L189" s="459">
        <v>68419.94</v>
      </c>
      <c r="M189" s="459">
        <v>80587.600000000006</v>
      </c>
      <c r="N189" s="459">
        <v>401349.47</v>
      </c>
      <c r="O189" s="473">
        <f>SUM(Taulukko8[[#This Row],[Muiden kuin pakolaisten osuus kotoutumiskoulutuksista,  €]:[Palkkatuki, yksityinen, €]])</f>
        <v>1433938.6157293948</v>
      </c>
      <c r="P189" s="459">
        <f>Taulukko8[[#This Row],[Palvelut yhteensä, €]]/Taulukko8[[#This Row],[Työttömät 2022]]</f>
        <v>2426.2920739922079</v>
      </c>
      <c r="Q189" s="473">
        <v>774260.82058330753</v>
      </c>
      <c r="R189" s="459">
        <f>Taulukko8[[#This Row],[Toimintamenot, arvio]]/Taulukko8[[#This Row],[Työttömät 2022]]</f>
        <v>1310.0859908346997</v>
      </c>
      <c r="S189" s="473">
        <f>Taulukko8[[#This Row],[Palvelut yhteensä, €]]+Taulukko8[[#This Row],[Toimintamenot, arvio]]</f>
        <v>2208199.4363127025</v>
      </c>
      <c r="T189" s="481">
        <f>(Taulukko8[[#This Row],[Palvelut + toimintamenot]]/$S$6)*$T$1</f>
        <v>2320459.5449031964</v>
      </c>
      <c r="U189" s="483">
        <f>Taulukko8[[#This Row],[Palvelut + toimintamenot, skaalattu siirtyvän rahoituksen tasoon]]*0.5</f>
        <v>1160229.7724515982</v>
      </c>
    </row>
    <row r="190" spans="1:21">
      <c r="A190" s="465">
        <v>599</v>
      </c>
      <c r="B190" s="456" t="s">
        <v>195</v>
      </c>
      <c r="C190" s="459">
        <v>11206</v>
      </c>
      <c r="D190" s="459">
        <v>5288</v>
      </c>
      <c r="E190" s="459">
        <v>116</v>
      </c>
      <c r="F190" s="459">
        <v>52580</v>
      </c>
      <c r="G190" s="459">
        <v>20034.432396688499</v>
      </c>
      <c r="H190" s="459">
        <v>12020.659438013099</v>
      </c>
      <c r="I190" s="459">
        <v>53490.78173092888</v>
      </c>
      <c r="J190" s="459">
        <v>0</v>
      </c>
      <c r="K190" s="459">
        <v>5045.9678446486805</v>
      </c>
      <c r="L190" s="459">
        <v>75755.64</v>
      </c>
      <c r="M190" s="459">
        <v>78421.72</v>
      </c>
      <c r="N190" s="459">
        <v>91815.42</v>
      </c>
      <c r="O190" s="473">
        <f>SUM(Taulukko8[[#This Row],[Muiden kuin pakolaisten osuus kotoutumiskoulutuksista,  €]:[Palkkatuki, yksityinen, €]])</f>
        <v>316550.18901359069</v>
      </c>
      <c r="P190" s="459">
        <f>Taulukko8[[#This Row],[Palvelut yhteensä, €]]/Taulukko8[[#This Row],[Työttömät 2022]]</f>
        <v>2728.8809397723335</v>
      </c>
      <c r="Q190" s="473">
        <v>168564.28176532337</v>
      </c>
      <c r="R190" s="459">
        <f>Taulukko8[[#This Row],[Toimintamenot, arvio]]/Taulukko8[[#This Row],[Työttömät 2022]]</f>
        <v>1453.1403600458912</v>
      </c>
      <c r="S190" s="473">
        <f>Taulukko8[[#This Row],[Palvelut yhteensä, €]]+Taulukko8[[#This Row],[Toimintamenot, arvio]]</f>
        <v>485114.47077891405</v>
      </c>
      <c r="T190" s="481">
        <f>(Taulukko8[[#This Row],[Palvelut + toimintamenot]]/$S$6)*$T$1</f>
        <v>509776.64679114858</v>
      </c>
      <c r="U190" s="483">
        <f>Taulukko8[[#This Row],[Palvelut + toimintamenot, skaalattu siirtyvän rahoituksen tasoon]]*0.5</f>
        <v>254888.32339557429</v>
      </c>
    </row>
    <row r="191" spans="1:21">
      <c r="A191" s="465">
        <v>601</v>
      </c>
      <c r="B191" s="456" t="s">
        <v>196</v>
      </c>
      <c r="C191" s="459">
        <v>3786</v>
      </c>
      <c r="D191" s="459">
        <v>1579</v>
      </c>
      <c r="E191" s="459">
        <v>156</v>
      </c>
      <c r="F191" s="459">
        <v>49951</v>
      </c>
      <c r="G191" s="459">
        <v>6719.6477010593726</v>
      </c>
      <c r="H191" s="459">
        <v>4031.7886206356234</v>
      </c>
      <c r="I191" s="459">
        <v>23291.258981503561</v>
      </c>
      <c r="J191" s="459">
        <v>8331.2016519823792</v>
      </c>
      <c r="K191" s="459">
        <v>1885.7574511991077</v>
      </c>
      <c r="L191" s="459">
        <v>96482.44</v>
      </c>
      <c r="M191" s="459">
        <v>24882.68</v>
      </c>
      <c r="N191" s="459">
        <v>345936.83999999997</v>
      </c>
      <c r="O191" s="473">
        <f>SUM(Taulukko8[[#This Row],[Muiden kuin pakolaisten osuus kotoutumiskoulutuksista,  €]:[Palkkatuki, yksityinen, €]])</f>
        <v>504841.96670532064</v>
      </c>
      <c r="P191" s="459">
        <f>Taulukko8[[#This Row],[Palvelut yhteensä, €]]/Taulukko8[[#This Row],[Työttömät 2022]]</f>
        <v>3236.1664532392347</v>
      </c>
      <c r="Q191" s="473">
        <v>144183.83704265062</v>
      </c>
      <c r="R191" s="459">
        <f>Taulukko8[[#This Row],[Toimintamenot, arvio]]/Taulukko8[[#This Row],[Työttömät 2022]]</f>
        <v>924.25536565801679</v>
      </c>
      <c r="S191" s="473">
        <f>Taulukko8[[#This Row],[Palvelut yhteensä, €]]+Taulukko8[[#This Row],[Toimintamenot, arvio]]</f>
        <v>649025.80374797131</v>
      </c>
      <c r="T191" s="481">
        <f>(Taulukko8[[#This Row],[Palvelut + toimintamenot]]/$S$6)*$T$1</f>
        <v>682020.87928718189</v>
      </c>
      <c r="U191" s="483">
        <f>Taulukko8[[#This Row],[Palvelut + toimintamenot, skaalattu siirtyvän rahoituksen tasoon]]*0.5</f>
        <v>341010.43964359094</v>
      </c>
    </row>
    <row r="192" spans="1:21">
      <c r="A192" s="465">
        <v>604</v>
      </c>
      <c r="B192" s="456" t="s">
        <v>197</v>
      </c>
      <c r="C192" s="459">
        <v>20405</v>
      </c>
      <c r="D192" s="459">
        <v>10206</v>
      </c>
      <c r="E192" s="459">
        <v>583</v>
      </c>
      <c r="F192" s="459">
        <v>199658</v>
      </c>
      <c r="G192" s="459">
        <v>59410.641690205674</v>
      </c>
      <c r="H192" s="459">
        <v>35646.3850141234</v>
      </c>
      <c r="I192" s="459">
        <v>86500.024798504237</v>
      </c>
      <c r="J192" s="459">
        <v>72990.471320754717</v>
      </c>
      <c r="K192" s="459">
        <v>5116.6081139157359</v>
      </c>
      <c r="L192" s="459">
        <v>211067.12</v>
      </c>
      <c r="M192" s="459">
        <v>179324.34</v>
      </c>
      <c r="N192" s="459">
        <v>319673.92</v>
      </c>
      <c r="O192" s="473">
        <f>SUM(Taulukko8[[#This Row],[Muiden kuin pakolaisten osuus kotoutumiskoulutuksista,  €]:[Palkkatuki, yksityinen, €]])</f>
        <v>910318.86924729799</v>
      </c>
      <c r="P192" s="459">
        <f>Taulukko8[[#This Row],[Palvelut yhteensä, €]]/Taulukko8[[#This Row],[Työttömät 2022]]</f>
        <v>1561.4388837861029</v>
      </c>
      <c r="Q192" s="473">
        <v>547506.03669937397</v>
      </c>
      <c r="R192" s="459">
        <f>Taulukko8[[#This Row],[Toimintamenot, arvio]]/Taulukko8[[#This Row],[Työttömät 2022]]</f>
        <v>939.1184162939519</v>
      </c>
      <c r="S192" s="473">
        <f>Taulukko8[[#This Row],[Palvelut yhteensä, €]]+Taulukko8[[#This Row],[Toimintamenot, arvio]]</f>
        <v>1457824.905946672</v>
      </c>
      <c r="T192" s="481">
        <f>(Taulukko8[[#This Row],[Palvelut + toimintamenot]]/$S$6)*$T$1</f>
        <v>1531937.5877797839</v>
      </c>
      <c r="U192" s="483">
        <f>Taulukko8[[#This Row],[Palvelut + toimintamenot, skaalattu siirtyvän rahoituksen tasoon]]*0.5</f>
        <v>765968.79388989194</v>
      </c>
    </row>
    <row r="193" spans="1:21">
      <c r="A193" s="465">
        <v>607</v>
      </c>
      <c r="B193" s="456" t="s">
        <v>198</v>
      </c>
      <c r="C193" s="459">
        <v>4084</v>
      </c>
      <c r="D193" s="459">
        <v>1680</v>
      </c>
      <c r="E193" s="459">
        <v>203</v>
      </c>
      <c r="F193" s="459">
        <v>68462</v>
      </c>
      <c r="G193" s="459">
        <v>25775.670778656273</v>
      </c>
      <c r="H193" s="459">
        <v>15465.402467193762</v>
      </c>
      <c r="I193" s="459">
        <v>47053.200500992993</v>
      </c>
      <c r="J193" s="459">
        <v>9395.1692783505168</v>
      </c>
      <c r="K193" s="459">
        <v>1667.9110246262092</v>
      </c>
      <c r="L193" s="459">
        <v>167297.13</v>
      </c>
      <c r="M193" s="459">
        <v>50331.78</v>
      </c>
      <c r="N193" s="459">
        <v>146463.31</v>
      </c>
      <c r="O193" s="473">
        <f>SUM(Taulukko8[[#This Row],[Muiden kuin pakolaisten osuus kotoutumiskoulutuksista,  €]:[Palkkatuki, yksityinen, €]])</f>
        <v>437673.90327116352</v>
      </c>
      <c r="P193" s="459">
        <f>Taulukko8[[#This Row],[Palvelut yhteensä, €]]/Taulukko8[[#This Row],[Työttömät 2022]]</f>
        <v>2156.0290801535148</v>
      </c>
      <c r="Q193" s="473">
        <v>181159.55452073121</v>
      </c>
      <c r="R193" s="459">
        <f>Taulukko8[[#This Row],[Toimintamenot, arvio]]/Taulukko8[[#This Row],[Työttömät 2022]]</f>
        <v>892.41159862429163</v>
      </c>
      <c r="S193" s="473">
        <f>Taulukko8[[#This Row],[Palvelut yhteensä, €]]+Taulukko8[[#This Row],[Toimintamenot, arvio]]</f>
        <v>618833.45779189467</v>
      </c>
      <c r="T193" s="481">
        <f>(Taulukko8[[#This Row],[Palvelut + toimintamenot]]/$S$6)*$T$1</f>
        <v>650293.61941894039</v>
      </c>
      <c r="U193" s="483">
        <f>Taulukko8[[#This Row],[Palvelut + toimintamenot, skaalattu siirtyvän rahoituksen tasoon]]*0.5</f>
        <v>325146.8097094702</v>
      </c>
    </row>
    <row r="194" spans="1:21">
      <c r="A194" s="465">
        <v>608</v>
      </c>
      <c r="B194" s="456" t="s">
        <v>199</v>
      </c>
      <c r="C194" s="459">
        <v>1980</v>
      </c>
      <c r="D194" s="459">
        <v>805</v>
      </c>
      <c r="E194" s="459">
        <v>61</v>
      </c>
      <c r="F194" s="459">
        <v>23876</v>
      </c>
      <c r="G194" s="459">
        <v>5387.4871708879173</v>
      </c>
      <c r="H194" s="459">
        <v>3232.4923025327503</v>
      </c>
      <c r="I194" s="459">
        <v>12926.21675691412</v>
      </c>
      <c r="J194" s="459">
        <v>0</v>
      </c>
      <c r="K194" s="459">
        <v>1700.0573822109861</v>
      </c>
      <c r="L194" s="459">
        <v>17859.87</v>
      </c>
      <c r="M194" s="459">
        <v>14424.78</v>
      </c>
      <c r="N194" s="459">
        <v>31937.02</v>
      </c>
      <c r="O194" s="473">
        <f>SUM(Taulukko8[[#This Row],[Muiden kuin pakolaisten osuus kotoutumiskoulutuksista,  €]:[Palkkatuki, yksityinen, €]])</f>
        <v>82080.436441657861</v>
      </c>
      <c r="P194" s="459">
        <f>Taulukko8[[#This Row],[Palvelut yhteensä, €]]/Taulukko8[[#This Row],[Työttömät 2022]]</f>
        <v>1345.5809252730796</v>
      </c>
      <c r="Q194" s="473">
        <v>79821.400127907094</v>
      </c>
      <c r="R194" s="459">
        <f>Taulukko8[[#This Row],[Toimintamenot, arvio]]/Taulukko8[[#This Row],[Työttömät 2022]]</f>
        <v>1308.5475430804443</v>
      </c>
      <c r="S194" s="473">
        <f>Taulukko8[[#This Row],[Palvelut yhteensä, €]]+Taulukko8[[#This Row],[Toimintamenot, arvio]]</f>
        <v>161901.83656956494</v>
      </c>
      <c r="T194" s="481">
        <f>(Taulukko8[[#This Row],[Palvelut + toimintamenot]]/$S$6)*$T$1</f>
        <v>170132.57762284996</v>
      </c>
      <c r="U194" s="483">
        <f>Taulukko8[[#This Row],[Palvelut + toimintamenot, skaalattu siirtyvän rahoituksen tasoon]]*0.5</f>
        <v>85066.28881142498</v>
      </c>
    </row>
    <row r="195" spans="1:21">
      <c r="A195" s="465">
        <v>609</v>
      </c>
      <c r="B195" s="456" t="s">
        <v>200</v>
      </c>
      <c r="C195" s="459">
        <v>83205</v>
      </c>
      <c r="D195" s="459">
        <v>38007</v>
      </c>
      <c r="E195" s="459">
        <v>4203</v>
      </c>
      <c r="F195" s="459">
        <v>1376704</v>
      </c>
      <c r="G195" s="459">
        <v>452304.03657409019</v>
      </c>
      <c r="H195" s="459">
        <v>271382.42194445408</v>
      </c>
      <c r="I195" s="459">
        <v>1085214.6522736538</v>
      </c>
      <c r="J195" s="459">
        <v>328452.1918012423</v>
      </c>
      <c r="K195" s="459">
        <v>117136.74061365203</v>
      </c>
      <c r="L195" s="459">
        <v>2136841.21</v>
      </c>
      <c r="M195" s="459">
        <v>411409.68</v>
      </c>
      <c r="N195" s="459">
        <v>1920424.6400000001</v>
      </c>
      <c r="O195" s="473">
        <f>SUM(Taulukko8[[#This Row],[Muiden kuin pakolaisten osuus kotoutumiskoulutuksista,  €]:[Palkkatuki, yksityinen, €]])</f>
        <v>6270861.5366330016</v>
      </c>
      <c r="P195" s="459">
        <f>Taulukko8[[#This Row],[Palvelut yhteensä, €]]/Taulukko8[[#This Row],[Työttömät 2022]]</f>
        <v>1491.9965587991915</v>
      </c>
      <c r="Q195" s="473">
        <v>4602548.2007744266</v>
      </c>
      <c r="R195" s="459">
        <f>Taulukko8[[#This Row],[Toimintamenot, arvio]]/Taulukko8[[#This Row],[Työttömät 2022]]</f>
        <v>1095.0626221209675</v>
      </c>
      <c r="S195" s="473">
        <f>Taulukko8[[#This Row],[Palvelut yhteensä, €]]+Taulukko8[[#This Row],[Toimintamenot, arvio]]</f>
        <v>10873409.737407427</v>
      </c>
      <c r="T195" s="481">
        <f>(Taulukko8[[#This Row],[Palvelut + toimintamenot]]/$S$6)*$T$1</f>
        <v>11426190.495249009</v>
      </c>
      <c r="U195" s="483">
        <f>Taulukko8[[#This Row],[Palvelut + toimintamenot, skaalattu siirtyvän rahoituksen tasoon]]*0.5</f>
        <v>5713095.2476245044</v>
      </c>
    </row>
    <row r="196" spans="1:21">
      <c r="A196" s="465">
        <v>611</v>
      </c>
      <c r="B196" s="456" t="s">
        <v>201</v>
      </c>
      <c r="C196" s="459">
        <v>5011</v>
      </c>
      <c r="D196" s="459">
        <v>2629</v>
      </c>
      <c r="E196" s="459">
        <v>148</v>
      </c>
      <c r="F196" s="459">
        <v>39920</v>
      </c>
      <c r="G196" s="459">
        <v>15997.601852199588</v>
      </c>
      <c r="H196" s="459">
        <v>9598.5611113197519</v>
      </c>
      <c r="I196" s="459">
        <v>8421.7786112873764</v>
      </c>
      <c r="J196" s="459">
        <v>12387.550627697135</v>
      </c>
      <c r="K196" s="459">
        <v>3938.2792083774111</v>
      </c>
      <c r="L196" s="459">
        <v>0</v>
      </c>
      <c r="M196" s="459">
        <v>33233.800000000003</v>
      </c>
      <c r="N196" s="459">
        <v>38377.11</v>
      </c>
      <c r="O196" s="473">
        <f>SUM(Taulukko8[[#This Row],[Muiden kuin pakolaisten osuus kotoutumiskoulutuksista,  €]:[Palkkatuki, yksityinen, €]])</f>
        <v>105957.07955868168</v>
      </c>
      <c r="P196" s="459">
        <f>Taulukko8[[#This Row],[Palvelut yhteensä, €]]/Taulukko8[[#This Row],[Työttömät 2022]]</f>
        <v>715.92621323433571</v>
      </c>
      <c r="Q196" s="473">
        <v>119192.13898000764</v>
      </c>
      <c r="R196" s="459">
        <f>Taulukko8[[#This Row],[Toimintamenot, arvio]]/Taulukko8[[#This Row],[Työttömät 2022]]</f>
        <v>805.3522904054571</v>
      </c>
      <c r="S196" s="473">
        <f>Taulukko8[[#This Row],[Palvelut yhteensä, €]]+Taulukko8[[#This Row],[Toimintamenot, arvio]]</f>
        <v>225149.21853868931</v>
      </c>
      <c r="T196" s="481">
        <f>(Taulukko8[[#This Row],[Palvelut + toimintamenot]]/$S$6)*$T$1</f>
        <v>236595.32041996834</v>
      </c>
      <c r="U196" s="483">
        <f>Taulukko8[[#This Row],[Palvelut + toimintamenot, skaalattu siirtyvän rahoituksen tasoon]]*0.5</f>
        <v>118297.66020998417</v>
      </c>
    </row>
    <row r="197" spans="1:21">
      <c r="A197" s="465">
        <v>614</v>
      </c>
      <c r="B197" s="456" t="s">
        <v>202</v>
      </c>
      <c r="C197" s="459">
        <v>2999</v>
      </c>
      <c r="D197" s="459">
        <v>1196</v>
      </c>
      <c r="E197" s="459">
        <v>177</v>
      </c>
      <c r="F197" s="459">
        <v>49573</v>
      </c>
      <c r="G197" s="459">
        <v>18892.362576107837</v>
      </c>
      <c r="H197" s="459">
        <v>11335.417545664701</v>
      </c>
      <c r="I197" s="459">
        <v>38424.852746394034</v>
      </c>
      <c r="J197" s="459">
        <v>26911.231298969073</v>
      </c>
      <c r="K197" s="459">
        <v>8973.4712409280201</v>
      </c>
      <c r="L197" s="459">
        <v>265878.62</v>
      </c>
      <c r="M197" s="459">
        <v>29213.300000000003</v>
      </c>
      <c r="N197" s="459">
        <v>49755.66</v>
      </c>
      <c r="O197" s="473">
        <f>SUM(Taulukko8[[#This Row],[Muiden kuin pakolaisten osuus kotoutumiskoulutuksista,  €]:[Palkkatuki, yksityinen, €]])</f>
        <v>430492.55283195584</v>
      </c>
      <c r="P197" s="459">
        <f>Taulukko8[[#This Row],[Palvelut yhteensä, €]]/Taulukko8[[#This Row],[Työttömät 2022]]</f>
        <v>2432.1613154347788</v>
      </c>
      <c r="Q197" s="473">
        <v>177030.5932721729</v>
      </c>
      <c r="R197" s="459">
        <f>Taulukko8[[#This Row],[Toimintamenot, arvio]]/Taulukko8[[#This Row],[Työttömät 2022]]</f>
        <v>1000.1728433456096</v>
      </c>
      <c r="S197" s="473">
        <f>Taulukko8[[#This Row],[Palvelut yhteensä, €]]+Taulukko8[[#This Row],[Toimintamenot, arvio]]</f>
        <v>607523.1461041288</v>
      </c>
      <c r="T197" s="481">
        <f>(Taulukko8[[#This Row],[Palvelut + toimintamenot]]/$S$6)*$T$1</f>
        <v>638408.31581813388</v>
      </c>
      <c r="U197" s="483">
        <f>Taulukko8[[#This Row],[Palvelut + toimintamenot, skaalattu siirtyvän rahoituksen tasoon]]*0.5</f>
        <v>319204.15790906694</v>
      </c>
    </row>
    <row r="198" spans="1:21">
      <c r="A198" s="465">
        <v>615</v>
      </c>
      <c r="B198" s="456" t="s">
        <v>203</v>
      </c>
      <c r="C198" s="459">
        <v>7603</v>
      </c>
      <c r="D198" s="459">
        <v>2893</v>
      </c>
      <c r="E198" s="459">
        <v>368</v>
      </c>
      <c r="F198" s="459">
        <v>114404</v>
      </c>
      <c r="G198" s="459">
        <v>34031.018545786486</v>
      </c>
      <c r="H198" s="459">
        <v>20418.61112747189</v>
      </c>
      <c r="I198" s="459">
        <v>93697.996223019261</v>
      </c>
      <c r="J198" s="459">
        <v>2416.7649710982655</v>
      </c>
      <c r="K198" s="459">
        <v>4263.2578716125936</v>
      </c>
      <c r="L198" s="459">
        <v>148799.70000000001</v>
      </c>
      <c r="M198" s="459">
        <v>33293.08</v>
      </c>
      <c r="N198" s="459">
        <v>384962.45999999996</v>
      </c>
      <c r="O198" s="473">
        <f>SUM(Taulukko8[[#This Row],[Muiden kuin pakolaisten osuus kotoutumiskoulutuksista,  €]:[Palkkatuki, yksityinen, €]])</f>
        <v>687851.87019320205</v>
      </c>
      <c r="P198" s="459">
        <f>Taulukko8[[#This Row],[Palvelut yhteensä, €]]/Taulukko8[[#This Row],[Työttömät 2022]]</f>
        <v>1869.1626907423968</v>
      </c>
      <c r="Q198" s="473">
        <v>324288.25048813247</v>
      </c>
      <c r="R198" s="459">
        <f>Taulukko8[[#This Row],[Toimintamenot, arvio]]/Taulukko8[[#This Row],[Työttömät 2022]]</f>
        <v>881.21807197862086</v>
      </c>
      <c r="S198" s="473">
        <f>Taulukko8[[#This Row],[Palvelut yhteensä, €]]+Taulukko8[[#This Row],[Toimintamenot, arvio]]</f>
        <v>1012140.1206813345</v>
      </c>
      <c r="T198" s="481">
        <f>(Taulukko8[[#This Row],[Palvelut + toimintamenot]]/$S$6)*$T$1</f>
        <v>1063595.1468841364</v>
      </c>
      <c r="U198" s="483">
        <f>Taulukko8[[#This Row],[Palvelut + toimintamenot, skaalattu siirtyvän rahoituksen tasoon]]*0.5</f>
        <v>531797.57344206818</v>
      </c>
    </row>
    <row r="199" spans="1:21">
      <c r="A199" s="465">
        <v>616</v>
      </c>
      <c r="B199" s="456" t="s">
        <v>204</v>
      </c>
      <c r="C199" s="459">
        <v>1807</v>
      </c>
      <c r="D199" s="459">
        <v>908</v>
      </c>
      <c r="E199" s="459">
        <v>80</v>
      </c>
      <c r="F199" s="459">
        <v>23531</v>
      </c>
      <c r="G199" s="459">
        <v>3834.1359811056864</v>
      </c>
      <c r="H199" s="459">
        <v>2300.4815886634119</v>
      </c>
      <c r="I199" s="459">
        <v>2018.4428076639167</v>
      </c>
      <c r="J199" s="459">
        <v>7432.5303766182824</v>
      </c>
      <c r="K199" s="459">
        <v>2128.7995720958979</v>
      </c>
      <c r="L199" s="459">
        <v>23428.76</v>
      </c>
      <c r="M199" s="459">
        <v>10150.68</v>
      </c>
      <c r="N199" s="459">
        <v>42346.41</v>
      </c>
      <c r="O199" s="473">
        <f>SUM(Taulukko8[[#This Row],[Muiden kuin pakolaisten osuus kotoutumiskoulutuksista,  €]:[Palkkatuki, yksityinen, €]])</f>
        <v>89806.104345041502</v>
      </c>
      <c r="P199" s="459">
        <f>Taulukko8[[#This Row],[Palvelut yhteensä, €]]/Taulukko8[[#This Row],[Työttömät 2022]]</f>
        <v>1122.5763043130187</v>
      </c>
      <c r="Q199" s="473">
        <v>70258.272102669333</v>
      </c>
      <c r="R199" s="459">
        <f>Taulukko8[[#This Row],[Toimintamenot, arvio]]/Taulukko8[[#This Row],[Työttömät 2022]]</f>
        <v>878.22840128336668</v>
      </c>
      <c r="S199" s="473">
        <f>Taulukko8[[#This Row],[Palvelut yhteensä, €]]+Taulukko8[[#This Row],[Toimintamenot, arvio]]</f>
        <v>160064.37644771085</v>
      </c>
      <c r="T199" s="481">
        <f>(Taulukko8[[#This Row],[Palvelut + toimintamenot]]/$S$6)*$T$1</f>
        <v>168201.70498153861</v>
      </c>
      <c r="U199" s="483">
        <f>Taulukko8[[#This Row],[Palvelut + toimintamenot, skaalattu siirtyvän rahoituksen tasoon]]*0.5</f>
        <v>84100.852490769306</v>
      </c>
    </row>
    <row r="200" spans="1:21">
      <c r="A200" s="465">
        <v>619</v>
      </c>
      <c r="B200" s="456" t="s">
        <v>205</v>
      </c>
      <c r="C200" s="459">
        <v>2675</v>
      </c>
      <c r="D200" s="459">
        <v>1038</v>
      </c>
      <c r="E200" s="459">
        <v>61</v>
      </c>
      <c r="F200" s="459">
        <v>29597</v>
      </c>
      <c r="G200" s="459">
        <v>9031.1986135481093</v>
      </c>
      <c r="H200" s="459">
        <v>5418.719168128865</v>
      </c>
      <c r="I200" s="459">
        <v>13149.14099237739</v>
      </c>
      <c r="J200" s="459">
        <v>10427.210188679246</v>
      </c>
      <c r="K200" s="459">
        <v>535.35693816270987</v>
      </c>
      <c r="L200" s="459">
        <v>16543.52</v>
      </c>
      <c r="M200" s="459">
        <v>32695.86</v>
      </c>
      <c r="N200" s="459">
        <v>61362.15</v>
      </c>
      <c r="O200" s="473">
        <f>SUM(Taulukko8[[#This Row],[Muiden kuin pakolaisten osuus kotoutumiskoulutuksista,  €]:[Palkkatuki, yksityinen, €]])</f>
        <v>140131.95728734822</v>
      </c>
      <c r="P200" s="459">
        <f>Taulukko8[[#This Row],[Palvelut yhteensä, €]]/Taulukko8[[#This Row],[Työttömät 2022]]</f>
        <v>2297.2452014319383</v>
      </c>
      <c r="Q200" s="473">
        <v>81161.466949440408</v>
      </c>
      <c r="R200" s="459">
        <f>Taulukko8[[#This Row],[Toimintamenot, arvio]]/Taulukko8[[#This Row],[Työttömät 2022]]</f>
        <v>1330.5158516301706</v>
      </c>
      <c r="S200" s="473">
        <f>Taulukko8[[#This Row],[Palvelut yhteensä, €]]+Taulukko8[[#This Row],[Toimintamenot, arvio]]</f>
        <v>221293.42423678865</v>
      </c>
      <c r="T200" s="481">
        <f>(Taulukko8[[#This Row],[Palvelut + toimintamenot]]/$S$6)*$T$1</f>
        <v>232543.50583116969</v>
      </c>
      <c r="U200" s="483">
        <f>Taulukko8[[#This Row],[Palvelut + toimintamenot, skaalattu siirtyvän rahoituksen tasoon]]*0.5</f>
        <v>116271.75291558485</v>
      </c>
    </row>
    <row r="201" spans="1:21">
      <c r="A201" s="465">
        <v>620</v>
      </c>
      <c r="B201" s="456" t="s">
        <v>206</v>
      </c>
      <c r="C201" s="459">
        <v>2380</v>
      </c>
      <c r="D201" s="459">
        <v>856</v>
      </c>
      <c r="E201" s="459">
        <v>134</v>
      </c>
      <c r="F201" s="459">
        <v>45838</v>
      </c>
      <c r="G201" s="459">
        <v>58819.974705882349</v>
      </c>
      <c r="H201" s="459">
        <v>35291.984823529405</v>
      </c>
      <c r="I201" s="459">
        <v>62397.715058823531</v>
      </c>
      <c r="J201" s="459">
        <v>6671.4178378378383</v>
      </c>
      <c r="K201" s="459">
        <v>891.81030431705585</v>
      </c>
      <c r="L201" s="459">
        <v>104827.05</v>
      </c>
      <c r="M201" s="459">
        <v>36877.359999999993</v>
      </c>
      <c r="N201" s="459">
        <v>28675.79</v>
      </c>
      <c r="O201" s="473">
        <f>SUM(Taulukko8[[#This Row],[Muiden kuin pakolaisten osuus kotoutumiskoulutuksista,  €]:[Palkkatuki, yksityinen, €]])</f>
        <v>275633.12802450778</v>
      </c>
      <c r="P201" s="459">
        <f>Taulukko8[[#This Row],[Palvelut yhteensä, €]]/Taulukko8[[#This Row],[Työttömät 2022]]</f>
        <v>2056.9636419739386</v>
      </c>
      <c r="Q201" s="473">
        <v>162890.68174946535</v>
      </c>
      <c r="R201" s="459">
        <f>Taulukko8[[#This Row],[Toimintamenot, arvio]]/Taulukko8[[#This Row],[Työttömät 2022]]</f>
        <v>1215.6021026079504</v>
      </c>
      <c r="S201" s="473">
        <f>Taulukko8[[#This Row],[Palvelut yhteensä, €]]+Taulukko8[[#This Row],[Toimintamenot, arvio]]</f>
        <v>438523.80977397313</v>
      </c>
      <c r="T201" s="481">
        <f>(Taulukko8[[#This Row],[Palvelut + toimintamenot]]/$S$6)*$T$1</f>
        <v>460817.41681652656</v>
      </c>
      <c r="U201" s="483">
        <f>Taulukko8[[#This Row],[Palvelut + toimintamenot, skaalattu siirtyvän rahoituksen tasoon]]*0.5</f>
        <v>230408.70840826328</v>
      </c>
    </row>
    <row r="202" spans="1:21">
      <c r="A202" s="465">
        <v>623</v>
      </c>
      <c r="B202" s="456" t="s">
        <v>207</v>
      </c>
      <c r="C202" s="459">
        <v>2107</v>
      </c>
      <c r="D202" s="459">
        <v>843</v>
      </c>
      <c r="E202" s="459">
        <v>69</v>
      </c>
      <c r="F202" s="459">
        <v>20552</v>
      </c>
      <c r="G202" s="459">
        <v>6903.3538735150714</v>
      </c>
      <c r="H202" s="459">
        <v>4142.0123241090423</v>
      </c>
      <c r="I202" s="459">
        <v>13132.003598159721</v>
      </c>
      <c r="J202" s="459">
        <v>4339.454912280702</v>
      </c>
      <c r="K202" s="459">
        <v>6240.6827076923073</v>
      </c>
      <c r="L202" s="459">
        <v>36411.660000000003</v>
      </c>
      <c r="M202" s="459">
        <v>5207.4400000000005</v>
      </c>
      <c r="N202" s="459">
        <v>6888.1799999999994</v>
      </c>
      <c r="O202" s="473">
        <f>SUM(Taulukko8[[#This Row],[Muiden kuin pakolaisten osuus kotoutumiskoulutuksista,  €]:[Palkkatuki, yksityinen, €]])</f>
        <v>76361.433542241764</v>
      </c>
      <c r="P202" s="459">
        <f>Taulukko8[[#This Row],[Palvelut yhteensä, €]]/Taulukko8[[#This Row],[Työttömät 2022]]</f>
        <v>1106.687442641185</v>
      </c>
      <c r="Q202" s="473">
        <v>65894.963026163474</v>
      </c>
      <c r="R202" s="459">
        <f>Taulukko8[[#This Row],[Toimintamenot, arvio]]/Taulukko8[[#This Row],[Työttömät 2022]]</f>
        <v>954.99946414729675</v>
      </c>
      <c r="S202" s="473">
        <f>Taulukko8[[#This Row],[Palvelut yhteensä, €]]+Taulukko8[[#This Row],[Toimintamenot, arvio]]</f>
        <v>142256.39656840524</v>
      </c>
      <c r="T202" s="481">
        <f>(Taulukko8[[#This Row],[Palvelut + toimintamenot]]/$S$6)*$T$1</f>
        <v>149488.40571751006</v>
      </c>
      <c r="U202" s="483">
        <f>Taulukko8[[#This Row],[Palvelut + toimintamenot, skaalattu siirtyvän rahoituksen tasoon]]*0.5</f>
        <v>74744.20285875503</v>
      </c>
    </row>
    <row r="203" spans="1:21">
      <c r="A203" s="465">
        <v>624</v>
      </c>
      <c r="B203" s="456" t="s">
        <v>208</v>
      </c>
      <c r="C203" s="459">
        <v>5117</v>
      </c>
      <c r="D203" s="459">
        <v>2319</v>
      </c>
      <c r="E203" s="459">
        <v>206</v>
      </c>
      <c r="F203" s="459">
        <v>65680</v>
      </c>
      <c r="G203" s="459">
        <v>26781.936078284718</v>
      </c>
      <c r="H203" s="459">
        <v>16069.16164697083</v>
      </c>
      <c r="I203" s="459">
        <v>34631.049369234606</v>
      </c>
      <c r="J203" s="459">
        <v>11092.92575471698</v>
      </c>
      <c r="K203" s="459">
        <v>2052.5042080104295</v>
      </c>
      <c r="L203" s="459">
        <v>22728.809999999998</v>
      </c>
      <c r="M203" s="459">
        <v>60544.86</v>
      </c>
      <c r="N203" s="459">
        <v>90374.59</v>
      </c>
      <c r="O203" s="473">
        <f>SUM(Taulukko8[[#This Row],[Muiden kuin pakolaisten osuus kotoutumiskoulutuksista,  €]:[Palkkatuki, yksityinen, €]])</f>
        <v>237493.90097893283</v>
      </c>
      <c r="P203" s="459">
        <f>Taulukko8[[#This Row],[Palvelut yhteensä, €]]/Taulukko8[[#This Row],[Työttömät 2022]]</f>
        <v>1152.8830144608389</v>
      </c>
      <c r="Q203" s="473">
        <v>209683.4518130779</v>
      </c>
      <c r="R203" s="459">
        <f>Taulukko8[[#This Row],[Toimintamenot, arvio]]/Taulukko8[[#This Row],[Työttömät 2022]]</f>
        <v>1017.8808340440675</v>
      </c>
      <c r="S203" s="473">
        <f>Taulukko8[[#This Row],[Palvelut yhteensä, €]]+Taulukko8[[#This Row],[Toimintamenot, arvio]]</f>
        <v>447177.35279201076</v>
      </c>
      <c r="T203" s="481">
        <f>(Taulukko8[[#This Row],[Palvelut + toimintamenot]]/$S$6)*$T$1</f>
        <v>469910.8873442458</v>
      </c>
      <c r="U203" s="483">
        <f>Taulukko8[[#This Row],[Palvelut + toimintamenot, skaalattu siirtyvän rahoituksen tasoon]]*0.5</f>
        <v>234955.4436721229</v>
      </c>
    </row>
    <row r="204" spans="1:21">
      <c r="A204" s="465">
        <v>625</v>
      </c>
      <c r="B204" s="456" t="s">
        <v>209</v>
      </c>
      <c r="C204" s="459">
        <v>2991</v>
      </c>
      <c r="D204" s="459">
        <v>1275</v>
      </c>
      <c r="E204" s="459">
        <v>108</v>
      </c>
      <c r="F204" s="459">
        <v>34635</v>
      </c>
      <c r="G204" s="459">
        <v>8113.3554148894918</v>
      </c>
      <c r="H204" s="459">
        <v>4868.0132489336947</v>
      </c>
      <c r="I204" s="459">
        <v>22338.595126017834</v>
      </c>
      <c r="J204" s="459">
        <v>805.58832369942195</v>
      </c>
      <c r="K204" s="459">
        <v>1251.173505799348</v>
      </c>
      <c r="L204" s="459">
        <v>29765.68</v>
      </c>
      <c r="M204" s="459">
        <v>2019.66</v>
      </c>
      <c r="N204" s="459">
        <v>105389.12</v>
      </c>
      <c r="O204" s="473">
        <f>SUM(Taulukko8[[#This Row],[Muiden kuin pakolaisten osuus kotoutumiskoulutuksista,  €]:[Palkkatuki, yksityinen, €]])</f>
        <v>166437.83020445029</v>
      </c>
      <c r="P204" s="459">
        <f>Taulukko8[[#This Row],[Palvelut yhteensä, €]]/Taulukko8[[#This Row],[Työttömät 2022]]</f>
        <v>1541.0910204115769</v>
      </c>
      <c r="Q204" s="473">
        <v>98175.968984095554</v>
      </c>
      <c r="R204" s="459">
        <f>Taulukko8[[#This Row],[Toimintamenot, arvio]]/Taulukko8[[#This Row],[Työttömät 2022]]</f>
        <v>909.03674985273665</v>
      </c>
      <c r="S204" s="473">
        <f>Taulukko8[[#This Row],[Palvelut yhteensä, €]]+Taulukko8[[#This Row],[Toimintamenot, arvio]]</f>
        <v>264613.79918854585</v>
      </c>
      <c r="T204" s="481">
        <f>(Taulukko8[[#This Row],[Palvelut + toimintamenot]]/$S$6)*$T$1</f>
        <v>278066.19544540398</v>
      </c>
      <c r="U204" s="483">
        <f>Taulukko8[[#This Row],[Palvelut + toimintamenot, skaalattu siirtyvän rahoituksen tasoon]]*0.5</f>
        <v>139033.09772270199</v>
      </c>
    </row>
    <row r="205" spans="1:21">
      <c r="A205" s="465">
        <v>626</v>
      </c>
      <c r="B205" s="456" t="s">
        <v>210</v>
      </c>
      <c r="C205" s="459">
        <v>4835</v>
      </c>
      <c r="D205" s="459">
        <v>1843</v>
      </c>
      <c r="E205" s="459">
        <v>211</v>
      </c>
      <c r="F205" s="459">
        <v>62588</v>
      </c>
      <c r="G205" s="459">
        <v>4636.2030942225674</v>
      </c>
      <c r="H205" s="459">
        <v>2781.7218565335402</v>
      </c>
      <c r="I205" s="459">
        <v>12764.91150058162</v>
      </c>
      <c r="J205" s="459">
        <v>2416.7649710982655</v>
      </c>
      <c r="K205" s="459">
        <v>2444.4223122561334</v>
      </c>
      <c r="L205" s="459">
        <v>161554.49</v>
      </c>
      <c r="M205" s="459">
        <v>34890.82</v>
      </c>
      <c r="N205" s="459">
        <v>154681.46</v>
      </c>
      <c r="O205" s="473">
        <f>SUM(Taulukko8[[#This Row],[Muiden kuin pakolaisten osuus kotoutumiskoulutuksista,  €]:[Palkkatuki, yksityinen, €]])</f>
        <v>371534.59064046957</v>
      </c>
      <c r="P205" s="459">
        <f>Taulukko8[[#This Row],[Palvelut yhteensä, €]]/Taulukko8[[#This Row],[Työttömät 2022]]</f>
        <v>1760.8274437936946</v>
      </c>
      <c r="Q205" s="473">
        <v>177411.21832760421</v>
      </c>
      <c r="R205" s="459">
        <f>Taulukko8[[#This Row],[Toimintamenot, arvio]]/Taulukko8[[#This Row],[Työttömät 2022]]</f>
        <v>840.81146126826638</v>
      </c>
      <c r="S205" s="473">
        <f>Taulukko8[[#This Row],[Palvelut yhteensä, €]]+Taulukko8[[#This Row],[Toimintamenot, arvio]]</f>
        <v>548945.8089680738</v>
      </c>
      <c r="T205" s="481">
        <f>(Taulukko8[[#This Row],[Palvelut + toimintamenot]]/$S$6)*$T$1</f>
        <v>576853.03288619721</v>
      </c>
      <c r="U205" s="483">
        <f>Taulukko8[[#This Row],[Palvelut + toimintamenot, skaalattu siirtyvän rahoituksen tasoon]]*0.5</f>
        <v>288426.5164430986</v>
      </c>
    </row>
    <row r="206" spans="1:21">
      <c r="A206" s="465">
        <v>630</v>
      </c>
      <c r="B206" s="456" t="s">
        <v>211</v>
      </c>
      <c r="C206" s="459">
        <v>1635</v>
      </c>
      <c r="D206" s="459">
        <v>692</v>
      </c>
      <c r="E206" s="459">
        <v>32</v>
      </c>
      <c r="F206" s="459">
        <v>10818</v>
      </c>
      <c r="G206" s="459">
        <v>4185.4611267287064</v>
      </c>
      <c r="H206" s="459">
        <v>2511.2766760372238</v>
      </c>
      <c r="I206" s="459">
        <v>11523.878438025075</v>
      </c>
      <c r="J206" s="459">
        <v>805.58832369942195</v>
      </c>
      <c r="K206" s="459">
        <v>370.71807579239942</v>
      </c>
      <c r="L206" s="459">
        <v>14812.77</v>
      </c>
      <c r="M206" s="459">
        <v>6780.2</v>
      </c>
      <c r="N206" s="459">
        <v>16777.190000000002</v>
      </c>
      <c r="O206" s="473">
        <f>SUM(Taulukko8[[#This Row],[Muiden kuin pakolaisten osuus kotoutumiskoulutuksista,  €]:[Palkkatuki, yksityinen, €]])</f>
        <v>53581.621513554121</v>
      </c>
      <c r="P206" s="459">
        <f>Taulukko8[[#This Row],[Palvelut yhteensä, €]]/Taulukko8[[#This Row],[Työttömät 2022]]</f>
        <v>1674.4256722985663</v>
      </c>
      <c r="Q206" s="473">
        <v>30664.577233144097</v>
      </c>
      <c r="R206" s="459">
        <f>Taulukko8[[#This Row],[Toimintamenot, arvio]]/Taulukko8[[#This Row],[Työttömät 2022]]</f>
        <v>958.26803853575302</v>
      </c>
      <c r="S206" s="473">
        <f>Taulukko8[[#This Row],[Palvelut yhteensä, €]]+Taulukko8[[#This Row],[Toimintamenot, arvio]]</f>
        <v>84246.19874669821</v>
      </c>
      <c r="T206" s="481">
        <f>(Taulukko8[[#This Row],[Palvelut + toimintamenot]]/$S$6)*$T$1</f>
        <v>88529.094242511288</v>
      </c>
      <c r="U206" s="483">
        <f>Taulukko8[[#This Row],[Palvelut + toimintamenot, skaalattu siirtyvän rahoituksen tasoon]]*0.5</f>
        <v>44264.547121255644</v>
      </c>
    </row>
    <row r="207" spans="1:21">
      <c r="A207" s="465">
        <v>631</v>
      </c>
      <c r="B207" s="456" t="s">
        <v>212</v>
      </c>
      <c r="C207" s="459">
        <v>1963</v>
      </c>
      <c r="D207" s="459">
        <v>893</v>
      </c>
      <c r="E207" s="459">
        <v>66</v>
      </c>
      <c r="F207" s="459">
        <v>21691</v>
      </c>
      <c r="G207" s="459">
        <v>15374.871551729035</v>
      </c>
      <c r="H207" s="459">
        <v>9224.9229310374212</v>
      </c>
      <c r="I207" s="459">
        <v>9836.3075611627301</v>
      </c>
      <c r="J207" s="459">
        <v>1897.0382885572137</v>
      </c>
      <c r="K207" s="459">
        <v>620.68870431893686</v>
      </c>
      <c r="L207" s="459">
        <v>0</v>
      </c>
      <c r="M207" s="459">
        <v>33516.759999999995</v>
      </c>
      <c r="N207" s="459">
        <v>8020.25</v>
      </c>
      <c r="O207" s="473">
        <f>SUM(Taulukko8[[#This Row],[Muiden kuin pakolaisten osuus kotoutumiskoulutuksista,  €]:[Palkkatuki, yksityinen, €]])</f>
        <v>63115.967485076297</v>
      </c>
      <c r="P207" s="459">
        <f>Taulukko8[[#This Row],[Palvelut yhteensä, €]]/Taulukko8[[#This Row],[Työttömät 2022]]</f>
        <v>956.30253765267116</v>
      </c>
      <c r="Q207" s="473">
        <v>60882.848135219778</v>
      </c>
      <c r="R207" s="459">
        <f>Taulukko8[[#This Row],[Toimintamenot, arvio]]/Taulukko8[[#This Row],[Työttömät 2022]]</f>
        <v>922.4673959881784</v>
      </c>
      <c r="S207" s="473">
        <f>Taulukko8[[#This Row],[Palvelut yhteensä, €]]+Taulukko8[[#This Row],[Toimintamenot, arvio]]</f>
        <v>123998.81562029608</v>
      </c>
      <c r="T207" s="481">
        <f>(Taulukko8[[#This Row],[Palvelut + toimintamenot]]/$S$6)*$T$1</f>
        <v>130302.6486336181</v>
      </c>
      <c r="U207" s="483">
        <f>Taulukko8[[#This Row],[Palvelut + toimintamenot, skaalattu siirtyvän rahoituksen tasoon]]*0.5</f>
        <v>65151.324316809048</v>
      </c>
    </row>
    <row r="208" spans="1:21">
      <c r="A208" s="465">
        <v>635</v>
      </c>
      <c r="B208" s="456" t="s">
        <v>213</v>
      </c>
      <c r="C208" s="459">
        <v>6347</v>
      </c>
      <c r="D208" s="459">
        <v>2798</v>
      </c>
      <c r="E208" s="459">
        <v>163</v>
      </c>
      <c r="F208" s="459">
        <v>56754</v>
      </c>
      <c r="G208" s="459">
        <v>16109.705634977707</v>
      </c>
      <c r="H208" s="459">
        <v>9665.8233809866233</v>
      </c>
      <c r="I208" s="459">
        <v>23455.224472889397</v>
      </c>
      <c r="J208" s="459">
        <v>10427.210188679246</v>
      </c>
      <c r="K208" s="459">
        <v>1430.5439495167493</v>
      </c>
      <c r="L208" s="459">
        <v>131901.35999999999</v>
      </c>
      <c r="M208" s="459">
        <v>35783.58</v>
      </c>
      <c r="N208" s="459">
        <v>117308</v>
      </c>
      <c r="O208" s="473">
        <f>SUM(Taulukko8[[#This Row],[Muiden kuin pakolaisten osuus kotoutumiskoulutuksista,  €]:[Palkkatuki, yksityinen, €]])</f>
        <v>329971.74199207203</v>
      </c>
      <c r="P208" s="459">
        <f>Taulukko8[[#This Row],[Palvelut yhteensä, €]]/Taulukko8[[#This Row],[Työttömät 2022]]</f>
        <v>2024.3665152887854</v>
      </c>
      <c r="Q208" s="473">
        <v>155631.91861501304</v>
      </c>
      <c r="R208" s="459">
        <f>Taulukko8[[#This Row],[Toimintamenot, arvio]]/Taulukko8[[#This Row],[Työttömät 2022]]</f>
        <v>954.79704671787147</v>
      </c>
      <c r="S208" s="473">
        <f>Taulukko8[[#This Row],[Palvelut yhteensä, €]]+Taulukko8[[#This Row],[Toimintamenot, arvio]]</f>
        <v>485603.6606070851</v>
      </c>
      <c r="T208" s="481">
        <f>(Taulukko8[[#This Row],[Palvelut + toimintamenot]]/$S$6)*$T$1</f>
        <v>510290.70597773389</v>
      </c>
      <c r="U208" s="483">
        <f>Taulukko8[[#This Row],[Palvelut + toimintamenot, skaalattu siirtyvän rahoituksen tasoon]]*0.5</f>
        <v>255145.35298886694</v>
      </c>
    </row>
    <row r="209" spans="1:21">
      <c r="A209" s="465">
        <v>636</v>
      </c>
      <c r="B209" s="456" t="s">
        <v>214</v>
      </c>
      <c r="C209" s="459">
        <v>8154</v>
      </c>
      <c r="D209" s="459">
        <v>3709</v>
      </c>
      <c r="E209" s="459">
        <v>275</v>
      </c>
      <c r="F209" s="459">
        <v>77294</v>
      </c>
      <c r="G209" s="459">
        <v>106696.30688915408</v>
      </c>
      <c r="H209" s="459">
        <v>64017.784133492445</v>
      </c>
      <c r="I209" s="459">
        <v>68260.582644275841</v>
      </c>
      <c r="J209" s="459">
        <v>13279.268019900497</v>
      </c>
      <c r="K209" s="459">
        <v>2586.2029346622371</v>
      </c>
      <c r="L209" s="459">
        <v>164851.23000000001</v>
      </c>
      <c r="M209" s="459">
        <v>79303.8</v>
      </c>
      <c r="N209" s="459">
        <v>77918.2</v>
      </c>
      <c r="O209" s="473">
        <f>SUM(Taulukko8[[#This Row],[Muiden kuin pakolaisten osuus kotoutumiskoulutuksista,  €]:[Palkkatuki, yksityinen, €]])</f>
        <v>470217.06773233099</v>
      </c>
      <c r="P209" s="459">
        <f>Taulukko8[[#This Row],[Palvelut yhteensä, €]]/Taulukko8[[#This Row],[Työttömät 2022]]</f>
        <v>1709.8802462993854</v>
      </c>
      <c r="Q209" s="473">
        <v>216950.75670848176</v>
      </c>
      <c r="R209" s="459">
        <f>Taulukko8[[#This Row],[Toimintamenot, arvio]]/Taulukko8[[#This Row],[Työttömät 2022]]</f>
        <v>788.91184257629732</v>
      </c>
      <c r="S209" s="473">
        <f>Taulukko8[[#This Row],[Palvelut yhteensä, €]]+Taulukko8[[#This Row],[Toimintamenot, arvio]]</f>
        <v>687167.82444081269</v>
      </c>
      <c r="T209" s="481">
        <f>(Taulukko8[[#This Row],[Palvelut + toimintamenot]]/$S$6)*$T$1</f>
        <v>722101.95825276198</v>
      </c>
      <c r="U209" s="483">
        <f>Taulukko8[[#This Row],[Palvelut + toimintamenot, skaalattu siirtyvän rahoituksen tasoon]]*0.5</f>
        <v>361050.97912638099</v>
      </c>
    </row>
    <row r="210" spans="1:21">
      <c r="A210" s="465">
        <v>638</v>
      </c>
      <c r="B210" s="456" t="s">
        <v>215</v>
      </c>
      <c r="C210" s="459">
        <v>51232</v>
      </c>
      <c r="D210" s="459">
        <v>25212</v>
      </c>
      <c r="E210" s="459">
        <v>2342</v>
      </c>
      <c r="F210" s="459">
        <v>661404</v>
      </c>
      <c r="G210" s="459">
        <v>485348.73057375778</v>
      </c>
      <c r="H210" s="459">
        <v>291209.23834425467</v>
      </c>
      <c r="I210" s="459">
        <v>255507.01885980132</v>
      </c>
      <c r="J210" s="459">
        <v>94145.384770498247</v>
      </c>
      <c r="K210" s="459">
        <v>62320.607473107411</v>
      </c>
      <c r="L210" s="459">
        <v>442724.23</v>
      </c>
      <c r="M210" s="459">
        <v>484227.3</v>
      </c>
      <c r="N210" s="459">
        <v>903441.71</v>
      </c>
      <c r="O210" s="473">
        <f>SUM(Taulukko8[[#This Row],[Muiden kuin pakolaisten osuus kotoutumiskoulutuksista,  €]:[Palkkatuki, yksityinen, €]])</f>
        <v>2533575.4894476617</v>
      </c>
      <c r="P210" s="459">
        <f>Taulukko8[[#This Row],[Palvelut yhteensä, €]]/Taulukko8[[#This Row],[Työttömät 2022]]</f>
        <v>1081.7999527957566</v>
      </c>
      <c r="Q210" s="473">
        <v>1974803.5443369984</v>
      </c>
      <c r="R210" s="459">
        <f>Taulukko8[[#This Row],[Toimintamenot, arvio]]/Taulukko8[[#This Row],[Työttömät 2022]]</f>
        <v>843.2124442087952</v>
      </c>
      <c r="S210" s="473">
        <f>Taulukko8[[#This Row],[Palvelut yhteensä, €]]+Taulukko8[[#This Row],[Toimintamenot, arvio]]</f>
        <v>4508379.0337846596</v>
      </c>
      <c r="T210" s="481">
        <f>(Taulukko8[[#This Row],[Palvelut + toimintamenot]]/$S$6)*$T$1</f>
        <v>4737575.3244715584</v>
      </c>
      <c r="U210" s="483">
        <f>Taulukko8[[#This Row],[Palvelut + toimintamenot, skaalattu siirtyvän rahoituksen tasoon]]*0.5</f>
        <v>2368787.6622357792</v>
      </c>
    </row>
    <row r="211" spans="1:21">
      <c r="A211" s="465">
        <v>678</v>
      </c>
      <c r="B211" s="456" t="s">
        <v>216</v>
      </c>
      <c r="C211" s="459">
        <v>24073</v>
      </c>
      <c r="D211" s="459">
        <v>10112</v>
      </c>
      <c r="E211" s="459">
        <v>1046</v>
      </c>
      <c r="F211" s="459">
        <v>339923</v>
      </c>
      <c r="G211" s="459">
        <v>53992.448534800315</v>
      </c>
      <c r="H211" s="459">
        <v>32395.469120880189</v>
      </c>
      <c r="I211" s="459">
        <v>148658.03185052346</v>
      </c>
      <c r="J211" s="459">
        <v>21750.884739884394</v>
      </c>
      <c r="K211" s="459">
        <v>12117.847102464055</v>
      </c>
      <c r="L211" s="459">
        <v>342439.27</v>
      </c>
      <c r="M211" s="459">
        <v>72856.679999999993</v>
      </c>
      <c r="N211" s="459">
        <v>820167.58000000007</v>
      </c>
      <c r="O211" s="473">
        <f>SUM(Taulukko8[[#This Row],[Muiden kuin pakolaisten osuus kotoutumiskoulutuksista,  €]:[Palkkatuki, yksityinen, €]])</f>
        <v>1450385.7628137521</v>
      </c>
      <c r="P211" s="459">
        <f>Taulukko8[[#This Row],[Palvelut yhteensä, €]]/Taulukko8[[#This Row],[Työttömät 2022]]</f>
        <v>1386.6020676995718</v>
      </c>
      <c r="Q211" s="473">
        <v>963541.79024052876</v>
      </c>
      <c r="R211" s="459">
        <f>Taulukko8[[#This Row],[Toimintamenot, arvio]]/Taulukko8[[#This Row],[Työttömät 2022]]</f>
        <v>921.16805950337357</v>
      </c>
      <c r="S211" s="473">
        <f>Taulukko8[[#This Row],[Palvelut yhteensä, €]]+Taulukko8[[#This Row],[Toimintamenot, arvio]]</f>
        <v>2413927.5530542806</v>
      </c>
      <c r="T211" s="481">
        <f>(Taulukko8[[#This Row],[Palvelut + toimintamenot]]/$S$6)*$T$1</f>
        <v>2536646.436493523</v>
      </c>
      <c r="U211" s="483">
        <f>Taulukko8[[#This Row],[Palvelut + toimintamenot, skaalattu siirtyvän rahoituksen tasoon]]*0.5</f>
        <v>1268323.2182467615</v>
      </c>
    </row>
    <row r="212" spans="1:21">
      <c r="A212" s="465">
        <v>680</v>
      </c>
      <c r="B212" s="456" t="s">
        <v>217</v>
      </c>
      <c r="C212" s="459">
        <v>24942</v>
      </c>
      <c r="D212" s="459">
        <v>11933</v>
      </c>
      <c r="E212" s="459">
        <v>818</v>
      </c>
      <c r="F212" s="459">
        <v>296600</v>
      </c>
      <c r="G212" s="459">
        <v>226381.72939959649</v>
      </c>
      <c r="H212" s="459">
        <v>135829.03763975788</v>
      </c>
      <c r="I212" s="459">
        <v>144831.14926263745</v>
      </c>
      <c r="J212" s="459">
        <v>117616.37389054727</v>
      </c>
      <c r="K212" s="459">
        <v>7692.7781838316723</v>
      </c>
      <c r="L212" s="459">
        <v>373302.47</v>
      </c>
      <c r="M212" s="459">
        <v>175029.6</v>
      </c>
      <c r="N212" s="459">
        <v>410273.56</v>
      </c>
      <c r="O212" s="473">
        <f>SUM(Taulukko8[[#This Row],[Muiden kuin pakolaisten osuus kotoutumiskoulutuksista,  €]:[Palkkatuki, yksityinen, €]])</f>
        <v>1364574.9689767743</v>
      </c>
      <c r="P212" s="459">
        <f>Taulukko8[[#This Row],[Palvelut yhteensä, €]]/Taulukko8[[#This Row],[Työttömät 2022]]</f>
        <v>1668.1845586513132</v>
      </c>
      <c r="Q212" s="473">
        <v>832504.3915405554</v>
      </c>
      <c r="R212" s="459">
        <f>Taulukko8[[#This Row],[Toimintamenot, arvio]]/Taulukko8[[#This Row],[Työttömät 2022]]</f>
        <v>1017.731530000679</v>
      </c>
      <c r="S212" s="473">
        <f>Taulukko8[[#This Row],[Palvelut yhteensä, €]]+Taulukko8[[#This Row],[Toimintamenot, arvio]]</f>
        <v>2197079.3605173295</v>
      </c>
      <c r="T212" s="481">
        <f>(Taulukko8[[#This Row],[Palvelut + toimintamenot]]/$S$6)*$T$1</f>
        <v>2308774.1483782758</v>
      </c>
      <c r="U212" s="483">
        <f>Taulukko8[[#This Row],[Palvelut + toimintamenot, skaalattu siirtyvän rahoituksen tasoon]]*0.5</f>
        <v>1154387.0741891379</v>
      </c>
    </row>
    <row r="213" spans="1:21">
      <c r="A213" s="465">
        <v>681</v>
      </c>
      <c r="B213" s="456" t="s">
        <v>218</v>
      </c>
      <c r="C213" s="459">
        <v>3308</v>
      </c>
      <c r="D213" s="459">
        <v>1351</v>
      </c>
      <c r="E213" s="459">
        <v>113</v>
      </c>
      <c r="F213" s="459">
        <v>40528</v>
      </c>
      <c r="G213" s="459">
        <v>13580.368275767356</v>
      </c>
      <c r="H213" s="459">
        <v>8148.220965460413</v>
      </c>
      <c r="I213" s="459">
        <v>25833.449701297814</v>
      </c>
      <c r="J213" s="459">
        <v>30376.184385964913</v>
      </c>
      <c r="K213" s="459">
        <v>10220.248492307692</v>
      </c>
      <c r="L213" s="459">
        <v>72355.77</v>
      </c>
      <c r="M213" s="459">
        <v>9689.92</v>
      </c>
      <c r="N213" s="459">
        <v>103501.84</v>
      </c>
      <c r="O213" s="473">
        <f>SUM(Taulukko8[[#This Row],[Muiden kuin pakolaisten osuus kotoutumiskoulutuksista,  €]:[Palkkatuki, yksityinen, €]])</f>
        <v>260125.63354503084</v>
      </c>
      <c r="P213" s="459">
        <f>Taulukko8[[#This Row],[Palvelut yhteensä, €]]/Taulukko8[[#This Row],[Työttömät 2022]]</f>
        <v>2301.9967570356712</v>
      </c>
      <c r="Q213" s="473">
        <v>129943.12288460262</v>
      </c>
      <c r="R213" s="459">
        <f>Taulukko8[[#This Row],[Toimintamenot, arvio]]/Taulukko8[[#This Row],[Työttömät 2022]]</f>
        <v>1149.9391405717047</v>
      </c>
      <c r="S213" s="473">
        <f>Taulukko8[[#This Row],[Palvelut yhteensä, €]]+Taulukko8[[#This Row],[Toimintamenot, arvio]]</f>
        <v>390068.75642963347</v>
      </c>
      <c r="T213" s="481">
        <f>(Taulukko8[[#This Row],[Palvelut + toimintamenot]]/$S$6)*$T$1</f>
        <v>409899.01280705095</v>
      </c>
      <c r="U213" s="483">
        <f>Taulukko8[[#This Row],[Palvelut + toimintamenot, skaalattu siirtyvän rahoituksen tasoon]]*0.5</f>
        <v>204949.50640352548</v>
      </c>
    </row>
    <row r="214" spans="1:21">
      <c r="A214" s="465">
        <v>683</v>
      </c>
      <c r="B214" s="456" t="s">
        <v>219</v>
      </c>
      <c r="C214" s="459">
        <v>3618</v>
      </c>
      <c r="D214" s="459">
        <v>1375</v>
      </c>
      <c r="E214" s="459">
        <v>162</v>
      </c>
      <c r="F214" s="459">
        <v>48305</v>
      </c>
      <c r="G214" s="459">
        <v>13196.456247191743</v>
      </c>
      <c r="H214" s="459">
        <v>7917.8737483150453</v>
      </c>
      <c r="I214" s="459">
        <v>26840.046395988669</v>
      </c>
      <c r="J214" s="459">
        <v>31396.436515463924</v>
      </c>
      <c r="K214" s="459">
        <v>8213.0075764425947</v>
      </c>
      <c r="L214" s="459">
        <v>103842.48000000001</v>
      </c>
      <c r="M214" s="459">
        <v>23965.4</v>
      </c>
      <c r="N214" s="459">
        <v>110181.12</v>
      </c>
      <c r="O214" s="473">
        <f>SUM(Taulukko8[[#This Row],[Muiden kuin pakolaisten osuus kotoutumiskoulutuksista,  €]:[Palkkatuki, yksityinen, €]])</f>
        <v>312356.36423621024</v>
      </c>
      <c r="P214" s="459">
        <f>Taulukko8[[#This Row],[Palvelut yhteensä, €]]/Taulukko8[[#This Row],[Työttömät 2022]]</f>
        <v>1928.1257051617915</v>
      </c>
      <c r="Q214" s="473">
        <v>172502.42688585143</v>
      </c>
      <c r="R214" s="459">
        <f>Taulukko8[[#This Row],[Toimintamenot, arvio]]/Taulukko8[[#This Row],[Työttömät 2022]]</f>
        <v>1064.8297955916755</v>
      </c>
      <c r="S214" s="473">
        <f>Taulukko8[[#This Row],[Palvelut yhteensä, €]]+Taulukko8[[#This Row],[Toimintamenot, arvio]]</f>
        <v>484858.79112206167</v>
      </c>
      <c r="T214" s="481">
        <f>(Taulukko8[[#This Row],[Palvelut + toimintamenot]]/$S$6)*$T$1</f>
        <v>509507.96893061465</v>
      </c>
      <c r="U214" s="483">
        <f>Taulukko8[[#This Row],[Palvelut + toimintamenot, skaalattu siirtyvän rahoituksen tasoon]]*0.5</f>
        <v>254753.98446530732</v>
      </c>
    </row>
    <row r="215" spans="1:21">
      <c r="A215" s="465">
        <v>684</v>
      </c>
      <c r="B215" s="456" t="s">
        <v>220</v>
      </c>
      <c r="C215" s="459">
        <v>38667</v>
      </c>
      <c r="D215" s="459">
        <v>18100</v>
      </c>
      <c r="E215" s="459">
        <v>1564</v>
      </c>
      <c r="F215" s="459">
        <v>523201</v>
      </c>
      <c r="G215" s="459">
        <v>224009.26770771467</v>
      </c>
      <c r="H215" s="459">
        <v>134405.56062462879</v>
      </c>
      <c r="I215" s="459">
        <v>537466.21719941776</v>
      </c>
      <c r="J215" s="459">
        <v>206969.87428571429</v>
      </c>
      <c r="K215" s="459">
        <v>43588.356488163641</v>
      </c>
      <c r="L215" s="459">
        <v>405816.3</v>
      </c>
      <c r="M215" s="459">
        <v>220672</v>
      </c>
      <c r="N215" s="459">
        <v>774890.25</v>
      </c>
      <c r="O215" s="473">
        <f>SUM(Taulukko8[[#This Row],[Muiden kuin pakolaisten osuus kotoutumiskoulutuksista,  €]:[Palkkatuki, yksityinen, €]])</f>
        <v>2323808.5585979242</v>
      </c>
      <c r="P215" s="459">
        <f>Taulukko8[[#This Row],[Palvelut yhteensä, €]]/Taulukko8[[#This Row],[Työttömät 2022]]</f>
        <v>1485.8110988477777</v>
      </c>
      <c r="Q215" s="473">
        <v>1749147.1087418797</v>
      </c>
      <c r="R215" s="459">
        <f>Taulukko8[[#This Row],[Toimintamenot, arvio]]/Taulukko8[[#This Row],[Työttömät 2022]]</f>
        <v>1118.3805043106647</v>
      </c>
      <c r="S215" s="473">
        <f>Taulukko8[[#This Row],[Palvelut yhteensä, €]]+Taulukko8[[#This Row],[Toimintamenot, arvio]]</f>
        <v>4072955.6673398037</v>
      </c>
      <c r="T215" s="481">
        <f>(Taulukko8[[#This Row],[Palvelut + toimintamenot]]/$S$6)*$T$1</f>
        <v>4280015.9708526628</v>
      </c>
      <c r="U215" s="483">
        <f>Taulukko8[[#This Row],[Palvelut + toimintamenot, skaalattu siirtyvän rahoituksen tasoon]]*0.5</f>
        <v>2140007.9854263314</v>
      </c>
    </row>
    <row r="216" spans="1:21">
      <c r="A216" s="465">
        <v>686</v>
      </c>
      <c r="B216" s="456" t="s">
        <v>221</v>
      </c>
      <c r="C216" s="459">
        <v>2964</v>
      </c>
      <c r="D216" s="459">
        <v>1144</v>
      </c>
      <c r="E216" s="459">
        <v>98</v>
      </c>
      <c r="F216" s="459">
        <v>31224</v>
      </c>
      <c r="G216" s="459">
        <v>4563.4650758416583</v>
      </c>
      <c r="H216" s="459">
        <v>2738.0790455049951</v>
      </c>
      <c r="I216" s="459">
        <v>19795.686200517946</v>
      </c>
      <c r="J216" s="459">
        <v>22459.189206349209</v>
      </c>
      <c r="K216" s="459">
        <v>1147.2770609653626</v>
      </c>
      <c r="L216" s="459">
        <v>69408.14</v>
      </c>
      <c r="M216" s="459">
        <v>3832.14</v>
      </c>
      <c r="N216" s="459">
        <v>97752.51</v>
      </c>
      <c r="O216" s="473">
        <f>SUM(Taulukko8[[#This Row],[Muiden kuin pakolaisten osuus kotoutumiskoulutuksista,  €]:[Palkkatuki, yksityinen, €]])</f>
        <v>217133.0215133375</v>
      </c>
      <c r="P216" s="459">
        <f>Taulukko8[[#This Row],[Palvelut yhteensä, €]]/Taulukko8[[#This Row],[Työttömät 2022]]</f>
        <v>2215.643076666709</v>
      </c>
      <c r="Q216" s="473">
        <v>96661.76589868532</v>
      </c>
      <c r="R216" s="459">
        <f>Taulukko8[[#This Row],[Toimintamenot, arvio]]/Taulukko8[[#This Row],[Työttömät 2022]]</f>
        <v>986.34454998658487</v>
      </c>
      <c r="S216" s="473">
        <f>Taulukko8[[#This Row],[Palvelut yhteensä, €]]+Taulukko8[[#This Row],[Toimintamenot, arvio]]</f>
        <v>313794.78741202282</v>
      </c>
      <c r="T216" s="481">
        <f>(Taulukko8[[#This Row],[Palvelut + toimintamenot]]/$S$6)*$T$1</f>
        <v>329747.43930148572</v>
      </c>
      <c r="U216" s="483">
        <f>Taulukko8[[#This Row],[Palvelut + toimintamenot, skaalattu siirtyvän rahoituksen tasoon]]*0.5</f>
        <v>164873.71965074286</v>
      </c>
    </row>
    <row r="217" spans="1:21">
      <c r="A217" s="465">
        <v>687</v>
      </c>
      <c r="B217" s="456" t="s">
        <v>222</v>
      </c>
      <c r="C217" s="459">
        <v>1477</v>
      </c>
      <c r="D217" s="459">
        <v>513</v>
      </c>
      <c r="E217" s="459">
        <v>56</v>
      </c>
      <c r="F217" s="459">
        <v>22268</v>
      </c>
      <c r="G217" s="459">
        <v>0</v>
      </c>
      <c r="H217" s="459">
        <v>0</v>
      </c>
      <c r="I217" s="459">
        <v>0</v>
      </c>
      <c r="J217" s="459">
        <v>0</v>
      </c>
      <c r="K217" s="459">
        <v>655.58689198020716</v>
      </c>
      <c r="L217" s="459">
        <v>36998.28</v>
      </c>
      <c r="M217" s="459">
        <v>6903.8600000000006</v>
      </c>
      <c r="N217" s="459">
        <v>34888.910000000003</v>
      </c>
      <c r="O217" s="473">
        <f>SUM(Taulukko8[[#This Row],[Muiden kuin pakolaisten osuus kotoutumiskoulutuksista,  €]:[Palkkatuki, yksityinen, €]])</f>
        <v>79446.636891980219</v>
      </c>
      <c r="P217" s="459">
        <f>Taulukko8[[#This Row],[Palvelut yhteensä, €]]/Taulukko8[[#This Row],[Työttömät 2022]]</f>
        <v>1418.6899444996468</v>
      </c>
      <c r="Q217" s="473">
        <v>68936.209423261753</v>
      </c>
      <c r="R217" s="459">
        <f>Taulukko8[[#This Row],[Toimintamenot, arvio]]/Taulukko8[[#This Row],[Työttömät 2022]]</f>
        <v>1231.0037397011026</v>
      </c>
      <c r="S217" s="473">
        <f>Taulukko8[[#This Row],[Palvelut yhteensä, €]]+Taulukko8[[#This Row],[Toimintamenot, arvio]]</f>
        <v>148382.84631524197</v>
      </c>
      <c r="T217" s="481">
        <f>(Taulukko8[[#This Row],[Palvelut + toimintamenot]]/$S$6)*$T$1</f>
        <v>155926.31098894493</v>
      </c>
      <c r="U217" s="483">
        <f>Taulukko8[[#This Row],[Palvelut + toimintamenot, skaalattu siirtyvän rahoituksen tasoon]]*0.5</f>
        <v>77963.155494472463</v>
      </c>
    </row>
    <row r="218" spans="1:21">
      <c r="A218" s="465">
        <v>689</v>
      </c>
      <c r="B218" s="456" t="s">
        <v>223</v>
      </c>
      <c r="C218" s="459">
        <v>3093</v>
      </c>
      <c r="D218" s="459">
        <v>1144</v>
      </c>
      <c r="E218" s="459">
        <v>151</v>
      </c>
      <c r="F218" s="459">
        <v>55579</v>
      </c>
      <c r="G218" s="459">
        <v>14923.517852252458</v>
      </c>
      <c r="H218" s="459">
        <v>8954.1107113514754</v>
      </c>
      <c r="I218" s="459">
        <v>19297.226383982506</v>
      </c>
      <c r="J218" s="459">
        <v>27732.314386792452</v>
      </c>
      <c r="K218" s="459">
        <v>1504.5055116969654</v>
      </c>
      <c r="L218" s="459">
        <v>66193.7</v>
      </c>
      <c r="M218" s="459">
        <v>7423.5</v>
      </c>
      <c r="N218" s="459">
        <v>124924.18</v>
      </c>
      <c r="O218" s="473">
        <f>SUM(Taulukko8[[#This Row],[Muiden kuin pakolaisten osuus kotoutumiskoulutuksista,  €]:[Palkkatuki, yksityinen, €]])</f>
        <v>256029.53699382339</v>
      </c>
      <c r="P218" s="459">
        <f>Taulukko8[[#This Row],[Palvelut yhteensä, €]]/Taulukko8[[#This Row],[Työttömät 2022]]</f>
        <v>1695.5598476412144</v>
      </c>
      <c r="Q218" s="473">
        <v>177436.00134468722</v>
      </c>
      <c r="R218" s="459">
        <f>Taulukko8[[#This Row],[Toimintamenot, arvio]]/Taulukko8[[#This Row],[Työttömät 2022]]</f>
        <v>1175.0728565873326</v>
      </c>
      <c r="S218" s="473">
        <f>Taulukko8[[#This Row],[Palvelut yhteensä, €]]+Taulukko8[[#This Row],[Toimintamenot, arvio]]</f>
        <v>433465.53833851061</v>
      </c>
      <c r="T218" s="481">
        <f>(Taulukko8[[#This Row],[Palvelut + toimintamenot]]/$S$6)*$T$1</f>
        <v>455501.99374372215</v>
      </c>
      <c r="U218" s="483">
        <f>Taulukko8[[#This Row],[Palvelut + toimintamenot, skaalattu siirtyvän rahoituksen tasoon]]*0.5</f>
        <v>227750.99687186108</v>
      </c>
    </row>
    <row r="219" spans="1:21">
      <c r="A219" s="465">
        <v>691</v>
      </c>
      <c r="B219" s="456" t="s">
        <v>224</v>
      </c>
      <c r="C219" s="459">
        <v>2636</v>
      </c>
      <c r="D219" s="459">
        <v>1057</v>
      </c>
      <c r="E219" s="459">
        <v>62</v>
      </c>
      <c r="F219" s="459">
        <v>21658</v>
      </c>
      <c r="G219" s="459">
        <v>4088.8735622657368</v>
      </c>
      <c r="H219" s="459">
        <v>2453.3241373594419</v>
      </c>
      <c r="I219" s="459">
        <v>11257.942781762958</v>
      </c>
      <c r="J219" s="459">
        <v>805.58832369942195</v>
      </c>
      <c r="K219" s="459">
        <v>718.26627184777385</v>
      </c>
      <c r="L219" s="459">
        <v>7806.97</v>
      </c>
      <c r="M219" s="459">
        <v>17394</v>
      </c>
      <c r="N219" s="459">
        <v>41271.06</v>
      </c>
      <c r="O219" s="473">
        <f>SUM(Taulukko8[[#This Row],[Muiden kuin pakolaisten osuus kotoutumiskoulutuksista,  €]:[Palkkatuki, yksityinen, €]])</f>
        <v>81707.151514669589</v>
      </c>
      <c r="P219" s="459">
        <f>Taulukko8[[#This Row],[Palvelut yhteensä, €]]/Taulukko8[[#This Row],[Työttömät 2022]]</f>
        <v>1317.8572824946707</v>
      </c>
      <c r="Q219" s="473">
        <v>61391.515410929445</v>
      </c>
      <c r="R219" s="459">
        <f>Taulukko8[[#This Row],[Toimintamenot, arvio]]/Taulukko8[[#This Row],[Työttömät 2022]]</f>
        <v>990.18573243434594</v>
      </c>
      <c r="S219" s="473">
        <f>Taulukko8[[#This Row],[Palvelut yhteensä, €]]+Taulukko8[[#This Row],[Toimintamenot, arvio]]</f>
        <v>143098.66692559904</v>
      </c>
      <c r="T219" s="481">
        <f>(Taulukko8[[#This Row],[Palvelut + toimintamenot]]/$S$6)*$T$1</f>
        <v>150373.49528759115</v>
      </c>
      <c r="U219" s="483">
        <f>Taulukko8[[#This Row],[Palvelut + toimintamenot, skaalattu siirtyvän rahoituksen tasoon]]*0.5</f>
        <v>75186.747643795577</v>
      </c>
    </row>
    <row r="220" spans="1:21">
      <c r="A220" s="465">
        <v>694</v>
      </c>
      <c r="B220" s="456" t="s">
        <v>225</v>
      </c>
      <c r="C220" s="459">
        <v>28349</v>
      </c>
      <c r="D220" s="459">
        <v>13483</v>
      </c>
      <c r="E220" s="459">
        <v>1218</v>
      </c>
      <c r="F220" s="459">
        <v>378510</v>
      </c>
      <c r="G220" s="459">
        <v>187603.73334258769</v>
      </c>
      <c r="H220" s="459">
        <v>112562.24000555261</v>
      </c>
      <c r="I220" s="459">
        <v>90977.132107132653</v>
      </c>
      <c r="J220" s="459">
        <v>123633.07541420119</v>
      </c>
      <c r="K220" s="459">
        <v>16567.15886894273</v>
      </c>
      <c r="L220" s="459">
        <v>660948.30000000005</v>
      </c>
      <c r="M220" s="459">
        <v>186511.3</v>
      </c>
      <c r="N220" s="459">
        <v>516497.95999999996</v>
      </c>
      <c r="O220" s="473">
        <f>SUM(Taulukko8[[#This Row],[Muiden kuin pakolaisten osuus kotoutumiskoulutuksista,  €]:[Palkkatuki, yksityinen, €]])</f>
        <v>1707697.1663958293</v>
      </c>
      <c r="P220" s="459">
        <f>Taulukko8[[#This Row],[Palvelut yhteensä, €]]/Taulukko8[[#This Row],[Työttömät 2022]]</f>
        <v>1402.0502187157877</v>
      </c>
      <c r="Q220" s="473">
        <v>1112287.1112382528</v>
      </c>
      <c r="R220" s="459">
        <f>Taulukko8[[#This Row],[Toimintamenot, arvio]]/Taulukko8[[#This Row],[Työttömät 2022]]</f>
        <v>913.20780889840137</v>
      </c>
      <c r="S220" s="473">
        <f>Taulukko8[[#This Row],[Palvelut yhteensä, €]]+Taulukko8[[#This Row],[Toimintamenot, arvio]]</f>
        <v>2819984.2776340824</v>
      </c>
      <c r="T220" s="481">
        <f>(Taulukko8[[#This Row],[Palvelut + toimintamenot]]/$S$6)*$T$1</f>
        <v>2963346.2113547549</v>
      </c>
      <c r="U220" s="483">
        <f>Taulukko8[[#This Row],[Palvelut + toimintamenot, skaalattu siirtyvän rahoituksen tasoon]]*0.5</f>
        <v>1481673.1056773774</v>
      </c>
    </row>
    <row r="221" spans="1:21">
      <c r="A221" s="465">
        <v>697</v>
      </c>
      <c r="B221" s="456" t="s">
        <v>226</v>
      </c>
      <c r="C221" s="459">
        <v>1174</v>
      </c>
      <c r="D221" s="459">
        <v>487</v>
      </c>
      <c r="E221" s="459">
        <v>46</v>
      </c>
      <c r="F221" s="459">
        <v>17080</v>
      </c>
      <c r="G221" s="459">
        <v>7605.0068306595367</v>
      </c>
      <c r="H221" s="459">
        <v>4563.0040983957215</v>
      </c>
      <c r="I221" s="459">
        <v>8067.5833611408198</v>
      </c>
      <c r="J221" s="459">
        <v>0</v>
      </c>
      <c r="K221" s="459">
        <v>306.14383581033258</v>
      </c>
      <c r="L221" s="459">
        <v>9602.8100000000013</v>
      </c>
      <c r="M221" s="459">
        <v>11146.32</v>
      </c>
      <c r="N221" s="459">
        <v>196714.86</v>
      </c>
      <c r="O221" s="473">
        <f>SUM(Taulukko8[[#This Row],[Muiden kuin pakolaisten osuus kotoutumiskoulutuksista,  €]:[Palkkatuki, yksityinen, €]])</f>
        <v>230400.72129534686</v>
      </c>
      <c r="P221" s="459">
        <f>Taulukko8[[#This Row],[Palvelut yhteensä, €]]/Taulukko8[[#This Row],[Työttömät 2022]]</f>
        <v>5008.7113325075406</v>
      </c>
      <c r="Q221" s="473">
        <v>60695.773032873767</v>
      </c>
      <c r="R221" s="459">
        <f>Taulukko8[[#This Row],[Toimintamenot, arvio]]/Taulukko8[[#This Row],[Työttömät 2022]]</f>
        <v>1319.4733268016037</v>
      </c>
      <c r="S221" s="473">
        <f>Taulukko8[[#This Row],[Palvelut yhteensä, €]]+Taulukko8[[#This Row],[Toimintamenot, arvio]]</f>
        <v>291096.49432822061</v>
      </c>
      <c r="T221" s="481">
        <f>(Taulukko8[[#This Row],[Palvelut + toimintamenot]]/$S$6)*$T$1</f>
        <v>305895.21383073321</v>
      </c>
      <c r="U221" s="483">
        <f>Taulukko8[[#This Row],[Palvelut + toimintamenot, skaalattu siirtyvän rahoituksen tasoon]]*0.5</f>
        <v>152947.6069153666</v>
      </c>
    </row>
    <row r="222" spans="1:21">
      <c r="A222" s="465">
        <v>698</v>
      </c>
      <c r="B222" s="456" t="s">
        <v>227</v>
      </c>
      <c r="C222" s="459">
        <v>64535</v>
      </c>
      <c r="D222" s="459">
        <v>31149</v>
      </c>
      <c r="E222" s="459">
        <v>3028</v>
      </c>
      <c r="F222" s="459">
        <v>938314</v>
      </c>
      <c r="G222" s="459">
        <v>701104.034466187</v>
      </c>
      <c r="H222" s="459">
        <v>420662.4206797122</v>
      </c>
      <c r="I222" s="459">
        <v>1425963.4905766288</v>
      </c>
      <c r="J222" s="459">
        <v>1067478.8415257733</v>
      </c>
      <c r="K222" s="459">
        <v>153512.26507079121</v>
      </c>
      <c r="L222" s="459">
        <v>796707.60000000009</v>
      </c>
      <c r="M222" s="459">
        <v>742534.34</v>
      </c>
      <c r="N222" s="459">
        <v>1254210.3700000001</v>
      </c>
      <c r="O222" s="473">
        <f>SUM(Taulukko8[[#This Row],[Muiden kuin pakolaisten osuus kotoutumiskoulutuksista,  €]:[Palkkatuki, yksityinen, €]])</f>
        <v>5861069.3278529057</v>
      </c>
      <c r="P222" s="459">
        <f>Taulukko8[[#This Row],[Palvelut yhteensä, €]]/Taulukko8[[#This Row],[Työttömät 2022]]</f>
        <v>1935.6239523952793</v>
      </c>
      <c r="Q222" s="473">
        <v>3350821.6992230779</v>
      </c>
      <c r="R222" s="459">
        <f>Taulukko8[[#This Row],[Toimintamenot, arvio]]/Taulukko8[[#This Row],[Työttömät 2022]]</f>
        <v>1106.6121860049795</v>
      </c>
      <c r="S222" s="473">
        <f>Taulukko8[[#This Row],[Palvelut yhteensä, €]]+Taulukko8[[#This Row],[Toimintamenot, arvio]]</f>
        <v>9211891.0270759836</v>
      </c>
      <c r="T222" s="481">
        <f>(Taulukko8[[#This Row],[Palvelut + toimintamenot]]/$S$6)*$T$1</f>
        <v>9680203.7482992783</v>
      </c>
      <c r="U222" s="483">
        <f>Taulukko8[[#This Row],[Palvelut + toimintamenot, skaalattu siirtyvän rahoituksen tasoon]]*0.5</f>
        <v>4840101.8741496392</v>
      </c>
    </row>
    <row r="223" spans="1:21">
      <c r="A223" s="465">
        <v>700</v>
      </c>
      <c r="B223" s="456" t="s">
        <v>228</v>
      </c>
      <c r="C223" s="459">
        <v>4842</v>
      </c>
      <c r="D223" s="459">
        <v>1994</v>
      </c>
      <c r="E223" s="459">
        <v>194</v>
      </c>
      <c r="F223" s="459">
        <v>62137</v>
      </c>
      <c r="G223" s="459">
        <v>58789.615781600602</v>
      </c>
      <c r="H223" s="459">
        <v>35273.76946896036</v>
      </c>
      <c r="I223" s="459">
        <v>76019.376664173513</v>
      </c>
      <c r="J223" s="459">
        <v>27732.314386792452</v>
      </c>
      <c r="K223" s="459">
        <v>1932.940856087492</v>
      </c>
      <c r="L223" s="459">
        <v>87452.040000000008</v>
      </c>
      <c r="M223" s="459">
        <v>36475.800000000003</v>
      </c>
      <c r="N223" s="459">
        <v>33774.81</v>
      </c>
      <c r="O223" s="473">
        <f>SUM(Taulukko8[[#This Row],[Muiden kuin pakolaisten osuus kotoutumiskoulutuksista,  €]:[Palkkatuki, yksityinen, €]])</f>
        <v>298661.05137601384</v>
      </c>
      <c r="P223" s="459">
        <f>Taulukko8[[#This Row],[Palvelut yhteensä, €]]/Taulukko8[[#This Row],[Työttömät 2022]]</f>
        <v>1539.4899555464631</v>
      </c>
      <c r="Q223" s="473">
        <v>198372.4215181063</v>
      </c>
      <c r="R223" s="459">
        <f>Taulukko8[[#This Row],[Toimintamenot, arvio]]/Taulukko8[[#This Row],[Työttömät 2022]]</f>
        <v>1022.5382552479706</v>
      </c>
      <c r="S223" s="473">
        <f>Taulukko8[[#This Row],[Palvelut yhteensä, €]]+Taulukko8[[#This Row],[Toimintamenot, arvio]]</f>
        <v>497033.47289412015</v>
      </c>
      <c r="T223" s="481">
        <f>(Taulukko8[[#This Row],[Palvelut + toimintamenot]]/$S$6)*$T$1</f>
        <v>522301.58533118124</v>
      </c>
      <c r="U223" s="483">
        <f>Taulukko8[[#This Row],[Palvelut + toimintamenot, skaalattu siirtyvän rahoituksen tasoon]]*0.5</f>
        <v>261150.79266559062</v>
      </c>
    </row>
    <row r="224" spans="1:21">
      <c r="A224" s="465">
        <v>702</v>
      </c>
      <c r="B224" s="456" t="s">
        <v>229</v>
      </c>
      <c r="C224" s="459">
        <v>4114</v>
      </c>
      <c r="D224" s="459">
        <v>1586</v>
      </c>
      <c r="E224" s="459">
        <v>134</v>
      </c>
      <c r="F224" s="459">
        <v>48127</v>
      </c>
      <c r="G224" s="459">
        <v>2977.854677980728</v>
      </c>
      <c r="H224" s="459">
        <v>1786.7128067884366</v>
      </c>
      <c r="I224" s="459">
        <v>4335.6627055947074</v>
      </c>
      <c r="J224" s="459">
        <v>5213.6050943396231</v>
      </c>
      <c r="K224" s="459">
        <v>1176.0299953082479</v>
      </c>
      <c r="L224" s="459">
        <v>173845.56</v>
      </c>
      <c r="M224" s="459">
        <v>25135.759999999998</v>
      </c>
      <c r="N224" s="459">
        <v>117532.64</v>
      </c>
      <c r="O224" s="473">
        <f>SUM(Taulukko8[[#This Row],[Muiden kuin pakolaisten osuus kotoutumiskoulutuksista,  €]:[Palkkatuki, yksityinen, €]])</f>
        <v>329025.97060203104</v>
      </c>
      <c r="P224" s="459">
        <f>Taulukko8[[#This Row],[Palvelut yhteensä, €]]/Taulukko8[[#This Row],[Työttömät 2022]]</f>
        <v>2455.4176910599331</v>
      </c>
      <c r="Q224" s="473">
        <v>131974.79203553463</v>
      </c>
      <c r="R224" s="459">
        <f>Taulukko8[[#This Row],[Toimintamenot, arvio]]/Taulukko8[[#This Row],[Työttömät 2022]]</f>
        <v>984.88650772787037</v>
      </c>
      <c r="S224" s="473">
        <f>Taulukko8[[#This Row],[Palvelut yhteensä, €]]+Taulukko8[[#This Row],[Toimintamenot, arvio]]</f>
        <v>461000.76263756567</v>
      </c>
      <c r="T224" s="481">
        <f>(Taulukko8[[#This Row],[Palvelut + toimintamenot]]/$S$6)*$T$1</f>
        <v>484437.04960646835</v>
      </c>
      <c r="U224" s="483">
        <f>Taulukko8[[#This Row],[Palvelut + toimintamenot, skaalattu siirtyvän rahoituksen tasoon]]*0.5</f>
        <v>242218.52480323418</v>
      </c>
    </row>
    <row r="225" spans="1:21">
      <c r="A225" s="465">
        <v>704</v>
      </c>
      <c r="B225" s="456" t="s">
        <v>230</v>
      </c>
      <c r="C225" s="459">
        <v>6428</v>
      </c>
      <c r="D225" s="459">
        <v>3135</v>
      </c>
      <c r="E225" s="459">
        <v>122</v>
      </c>
      <c r="F225" s="459">
        <v>41690</v>
      </c>
      <c r="G225" s="459">
        <v>10470.817694712016</v>
      </c>
      <c r="H225" s="459">
        <v>6282.4906168272091</v>
      </c>
      <c r="I225" s="459">
        <v>6698.8646321711703</v>
      </c>
      <c r="J225" s="459">
        <v>13279.268019900497</v>
      </c>
      <c r="K225" s="459">
        <v>1147.333665559247</v>
      </c>
      <c r="L225" s="459">
        <v>4718.8599999999997</v>
      </c>
      <c r="M225" s="459">
        <v>41530.14</v>
      </c>
      <c r="N225" s="459">
        <v>36349.03</v>
      </c>
      <c r="O225" s="473">
        <f>SUM(Taulukko8[[#This Row],[Muiden kuin pakolaisten osuus kotoutumiskoulutuksista,  €]:[Palkkatuki, yksityinen, €]])</f>
        <v>110005.98693445812</v>
      </c>
      <c r="P225" s="459">
        <f>Taulukko8[[#This Row],[Palvelut yhteensä, €]]/Taulukko8[[#This Row],[Työttömät 2022]]</f>
        <v>901.68841749555838</v>
      </c>
      <c r="Q225" s="473">
        <v>117016.54781970922</v>
      </c>
      <c r="R225" s="459">
        <f>Taulukko8[[#This Row],[Toimintamenot, arvio]]/Taulukko8[[#This Row],[Työttömät 2022]]</f>
        <v>959.15203130909197</v>
      </c>
      <c r="S225" s="473">
        <f>Taulukko8[[#This Row],[Palvelut yhteensä, €]]+Taulukko8[[#This Row],[Toimintamenot, arvio]]</f>
        <v>227022.53475416734</v>
      </c>
      <c r="T225" s="481">
        <f>(Taulukko8[[#This Row],[Palvelut + toimintamenot]]/$S$6)*$T$1</f>
        <v>238563.87200156215</v>
      </c>
      <c r="U225" s="483">
        <f>Taulukko8[[#This Row],[Palvelut + toimintamenot, skaalattu siirtyvän rahoituksen tasoon]]*0.5</f>
        <v>119281.93600078108</v>
      </c>
    </row>
    <row r="226" spans="1:21">
      <c r="A226" s="465">
        <v>707</v>
      </c>
      <c r="B226" s="456" t="s">
        <v>231</v>
      </c>
      <c r="C226" s="459">
        <v>1960</v>
      </c>
      <c r="D226" s="459">
        <v>744</v>
      </c>
      <c r="E226" s="459">
        <v>108</v>
      </c>
      <c r="F226" s="459">
        <v>34319</v>
      </c>
      <c r="G226" s="459">
        <v>7578.3278877356024</v>
      </c>
      <c r="H226" s="459">
        <v>4546.9967326413616</v>
      </c>
      <c r="I226" s="459">
        <v>13834.153323340954</v>
      </c>
      <c r="J226" s="459">
        <v>0</v>
      </c>
      <c r="K226" s="459">
        <v>887.36153034300787</v>
      </c>
      <c r="L226" s="459">
        <v>233007.51</v>
      </c>
      <c r="M226" s="459">
        <v>5607.66</v>
      </c>
      <c r="N226" s="459">
        <v>119820.53</v>
      </c>
      <c r="O226" s="473">
        <f>SUM(Taulukko8[[#This Row],[Muiden kuin pakolaisten osuus kotoutumiskoulutuksista,  €]:[Palkkatuki, yksityinen, €]])</f>
        <v>377704.21158632531</v>
      </c>
      <c r="P226" s="459">
        <f>Taulukko8[[#This Row],[Palvelut yhteensä, €]]/Taulukko8[[#This Row],[Työttömät 2022]]</f>
        <v>3497.2612183919009</v>
      </c>
      <c r="Q226" s="473">
        <v>90812.636960605494</v>
      </c>
      <c r="R226" s="459">
        <f>Taulukko8[[#This Row],[Toimintamenot, arvio]]/Taulukko8[[#This Row],[Työttömät 2022]]</f>
        <v>840.85774963523602</v>
      </c>
      <c r="S226" s="473">
        <f>Taulukko8[[#This Row],[Palvelut yhteensä, €]]+Taulukko8[[#This Row],[Toimintamenot, arvio]]</f>
        <v>468516.84854693082</v>
      </c>
      <c r="T226" s="481">
        <f>(Taulukko8[[#This Row],[Palvelut + toimintamenot]]/$S$6)*$T$1</f>
        <v>492335.2371532516</v>
      </c>
      <c r="U226" s="483">
        <f>Taulukko8[[#This Row],[Palvelut + toimintamenot, skaalattu siirtyvän rahoituksen tasoon]]*0.5</f>
        <v>246167.6185766258</v>
      </c>
    </row>
    <row r="227" spans="1:21">
      <c r="A227" s="465">
        <v>710</v>
      </c>
      <c r="B227" s="456" t="s">
        <v>232</v>
      </c>
      <c r="C227" s="459">
        <v>27306</v>
      </c>
      <c r="D227" s="459">
        <v>12605</v>
      </c>
      <c r="E227" s="459">
        <v>1123</v>
      </c>
      <c r="F227" s="459">
        <v>346675</v>
      </c>
      <c r="G227" s="459">
        <v>91754.840375425745</v>
      </c>
      <c r="H227" s="459">
        <v>55052.904225255443</v>
      </c>
      <c r="I227" s="459">
        <v>48303.42443168132</v>
      </c>
      <c r="J227" s="459">
        <v>42117.672134170265</v>
      </c>
      <c r="K227" s="459">
        <v>29883.02399329617</v>
      </c>
      <c r="L227" s="459">
        <v>84054.97</v>
      </c>
      <c r="M227" s="459">
        <v>214529.44</v>
      </c>
      <c r="N227" s="459">
        <v>513135.70999999996</v>
      </c>
      <c r="O227" s="473">
        <f>SUM(Taulukko8[[#This Row],[Muiden kuin pakolaisten osuus kotoutumiskoulutuksista,  €]:[Palkkatuki, yksityinen, €]])</f>
        <v>987077.14478440315</v>
      </c>
      <c r="P227" s="459">
        <f>Taulukko8[[#This Row],[Palvelut yhteensä, €]]/Taulukko8[[#This Row],[Työttömät 2022]]</f>
        <v>878.96451004844448</v>
      </c>
      <c r="Q227" s="473">
        <v>1035093.5566356248</v>
      </c>
      <c r="R227" s="459">
        <f>Taulukko8[[#This Row],[Toimintamenot, arvio]]/Taulukko8[[#This Row],[Työttömät 2022]]</f>
        <v>921.7217779480186</v>
      </c>
      <c r="S227" s="473">
        <f>Taulukko8[[#This Row],[Palvelut yhteensä, €]]+Taulukko8[[#This Row],[Toimintamenot, arvio]]</f>
        <v>2022170.701420028</v>
      </c>
      <c r="T227" s="481">
        <f>(Taulukko8[[#This Row],[Palvelut + toimintamenot]]/$S$6)*$T$1</f>
        <v>2124973.5093534421</v>
      </c>
      <c r="U227" s="483">
        <f>Taulukko8[[#This Row],[Palvelut + toimintamenot, skaalattu siirtyvän rahoituksen tasoon]]*0.5</f>
        <v>1062486.7546767211</v>
      </c>
    </row>
    <row r="228" spans="1:21">
      <c r="A228" s="465">
        <v>729</v>
      </c>
      <c r="B228" s="456" t="s">
        <v>233</v>
      </c>
      <c r="C228" s="459">
        <v>8975</v>
      </c>
      <c r="D228" s="459">
        <v>3648</v>
      </c>
      <c r="E228" s="459">
        <v>477</v>
      </c>
      <c r="F228" s="459">
        <v>164510</v>
      </c>
      <c r="G228" s="459">
        <v>16444.208282522057</v>
      </c>
      <c r="H228" s="459">
        <v>9866.5249695132334</v>
      </c>
      <c r="I228" s="459">
        <v>56997.975324454128</v>
      </c>
      <c r="J228" s="459">
        <v>16662.403303964758</v>
      </c>
      <c r="K228" s="459">
        <v>5766.0660527049649</v>
      </c>
      <c r="L228" s="459">
        <v>193469.22</v>
      </c>
      <c r="M228" s="459">
        <v>93769.040000000008</v>
      </c>
      <c r="N228" s="459">
        <v>755708.84000000008</v>
      </c>
      <c r="O228" s="473">
        <f>SUM(Taulukko8[[#This Row],[Muiden kuin pakolaisten osuus kotoutumiskoulutuksista,  €]:[Palkkatuki, yksityinen, €]])</f>
        <v>1132240.0696506372</v>
      </c>
      <c r="P228" s="459">
        <f>Taulukko8[[#This Row],[Palvelut yhteensä, €]]/Taulukko8[[#This Row],[Työttömät 2022]]</f>
        <v>2373.6689091208327</v>
      </c>
      <c r="Q228" s="473">
        <v>474859.0224797593</v>
      </c>
      <c r="R228" s="459">
        <f>Taulukko8[[#This Row],[Toimintamenot, arvio]]/Taulukko8[[#This Row],[Työttömät 2022]]</f>
        <v>995.51157752570089</v>
      </c>
      <c r="S228" s="473">
        <f>Taulukko8[[#This Row],[Palvelut yhteensä, €]]+Taulukko8[[#This Row],[Toimintamenot, arvio]]</f>
        <v>1607099.0921303965</v>
      </c>
      <c r="T228" s="481">
        <f>(Taulukko8[[#This Row],[Palvelut + toimintamenot]]/$S$6)*$T$1</f>
        <v>1688800.5524384836</v>
      </c>
      <c r="U228" s="483">
        <f>Taulukko8[[#This Row],[Palvelut + toimintamenot, skaalattu siirtyvän rahoituksen tasoon]]*0.5</f>
        <v>844400.27621924179</v>
      </c>
    </row>
    <row r="229" spans="1:21">
      <c r="A229" s="465">
        <v>732</v>
      </c>
      <c r="B229" s="456" t="s">
        <v>234</v>
      </c>
      <c r="C229" s="459">
        <v>3336</v>
      </c>
      <c r="D229" s="459">
        <v>1370</v>
      </c>
      <c r="E229" s="459">
        <v>196</v>
      </c>
      <c r="F229" s="459">
        <v>53689</v>
      </c>
      <c r="G229" s="459">
        <v>20189.450155960018</v>
      </c>
      <c r="H229" s="459">
        <v>12113.670093576011</v>
      </c>
      <c r="I229" s="459">
        <v>41062.97696480318</v>
      </c>
      <c r="J229" s="459">
        <v>8970.4104329896927</v>
      </c>
      <c r="K229" s="459">
        <v>9936.7252159428917</v>
      </c>
      <c r="L229" s="459">
        <v>148841.59</v>
      </c>
      <c r="M229" s="459">
        <v>17502.72</v>
      </c>
      <c r="N229" s="459">
        <v>64869.259999999995</v>
      </c>
      <c r="O229" s="473">
        <f>SUM(Taulukko8[[#This Row],[Muiden kuin pakolaisten osuus kotoutumiskoulutuksista,  €]:[Palkkatuki, yksityinen, €]])</f>
        <v>303297.35270731174</v>
      </c>
      <c r="P229" s="459">
        <f>Taulukko8[[#This Row],[Palvelut yhteensä, €]]/Taulukko8[[#This Row],[Työttömät 2022]]</f>
        <v>1547.4354729964884</v>
      </c>
      <c r="Q229" s="473">
        <v>191729.27848203038</v>
      </c>
      <c r="R229" s="459">
        <f>Taulukko8[[#This Row],[Toimintamenot, arvio]]/Taulukko8[[#This Row],[Työttömät 2022]]</f>
        <v>978.210604500155</v>
      </c>
      <c r="S229" s="473">
        <f>Taulukko8[[#This Row],[Palvelut yhteensä, €]]+Taulukko8[[#This Row],[Toimintamenot, arvio]]</f>
        <v>495026.63118934212</v>
      </c>
      <c r="T229" s="481">
        <f>(Taulukko8[[#This Row],[Palvelut + toimintamenot]]/$S$6)*$T$1</f>
        <v>520192.72011168004</v>
      </c>
      <c r="U229" s="483">
        <f>Taulukko8[[#This Row],[Palvelut + toimintamenot, skaalattu siirtyvän rahoituksen tasoon]]*0.5</f>
        <v>260096.36005584002</v>
      </c>
    </row>
    <row r="230" spans="1:21">
      <c r="A230" s="465">
        <v>734</v>
      </c>
      <c r="B230" s="456" t="s">
        <v>235</v>
      </c>
      <c r="C230" s="459">
        <v>50933</v>
      </c>
      <c r="D230" s="459">
        <v>23238</v>
      </c>
      <c r="E230" s="459">
        <v>2168</v>
      </c>
      <c r="F230" s="459">
        <v>728184</v>
      </c>
      <c r="G230" s="459">
        <v>501936.53936549881</v>
      </c>
      <c r="H230" s="459">
        <v>301161.92361929925</v>
      </c>
      <c r="I230" s="459">
        <v>321121.52357002813</v>
      </c>
      <c r="J230" s="459">
        <v>132792.68019900497</v>
      </c>
      <c r="K230" s="459">
        <v>20388.683499446292</v>
      </c>
      <c r="L230" s="459">
        <v>1203355.8599999999</v>
      </c>
      <c r="M230" s="459">
        <v>393300.2</v>
      </c>
      <c r="N230" s="459">
        <v>1559855.29</v>
      </c>
      <c r="O230" s="473">
        <f>SUM(Taulukko8[[#This Row],[Muiden kuin pakolaisten osuus kotoutumiskoulutuksista,  €]:[Palkkatuki, yksityinen, €]])</f>
        <v>3931976.1608877787</v>
      </c>
      <c r="P230" s="459">
        <f>Taulukko8[[#This Row],[Palvelut yhteensä, €]]/Taulukko8[[#This Row],[Työttömät 2022]]</f>
        <v>1813.6421406308943</v>
      </c>
      <c r="Q230" s="473">
        <v>2043885.2928171537</v>
      </c>
      <c r="R230" s="459">
        <f>Taulukko8[[#This Row],[Toimintamenot, arvio]]/Taulukko8[[#This Row],[Työttömät 2022]]</f>
        <v>942.75151882710043</v>
      </c>
      <c r="S230" s="473">
        <f>Taulukko8[[#This Row],[Palvelut yhteensä, €]]+Taulukko8[[#This Row],[Toimintamenot, arvio]]</f>
        <v>5975861.4537049327</v>
      </c>
      <c r="T230" s="481">
        <f>(Taulukko8[[#This Row],[Palvelut + toimintamenot]]/$S$6)*$T$1</f>
        <v>6279661.3934580479</v>
      </c>
      <c r="U230" s="483">
        <f>Taulukko8[[#This Row],[Palvelut + toimintamenot, skaalattu siirtyvän rahoituksen tasoon]]*0.5</f>
        <v>3139830.6967290239</v>
      </c>
    </row>
    <row r="231" spans="1:21">
      <c r="A231" s="465">
        <v>738</v>
      </c>
      <c r="B231" s="456" t="s">
        <v>236</v>
      </c>
      <c r="C231" s="459">
        <v>2917</v>
      </c>
      <c r="D231" s="459">
        <v>1322</v>
      </c>
      <c r="E231" s="459">
        <v>46</v>
      </c>
      <c r="F231" s="459">
        <v>21592</v>
      </c>
      <c r="G231" s="459">
        <v>14977.245563322251</v>
      </c>
      <c r="H231" s="459">
        <v>8986.3473379933494</v>
      </c>
      <c r="I231" s="459">
        <v>9581.9202966499015</v>
      </c>
      <c r="J231" s="459">
        <v>1897.0382885572137</v>
      </c>
      <c r="K231" s="459">
        <v>432.60121816168328</v>
      </c>
      <c r="L231" s="459">
        <v>53149.06</v>
      </c>
      <c r="M231" s="459">
        <v>23603.160000000003</v>
      </c>
      <c r="N231" s="459">
        <v>4322.83</v>
      </c>
      <c r="O231" s="473">
        <f>SUM(Taulukko8[[#This Row],[Muiden kuin pakolaisten osuus kotoutumiskoulutuksista,  €]:[Palkkatuki, yksityinen, €]])</f>
        <v>101972.95714136215</v>
      </c>
      <c r="P231" s="459">
        <f>Taulukko8[[#This Row],[Palvelut yhteensä, €]]/Taulukko8[[#This Row],[Työttömät 2022]]</f>
        <v>2216.8034161165683</v>
      </c>
      <c r="Q231" s="473">
        <v>60604.972427996196</v>
      </c>
      <c r="R231" s="459">
        <f>Taulukko8[[#This Row],[Toimintamenot, arvio]]/Taulukko8[[#This Row],[Työttömät 2022]]</f>
        <v>1317.4994006086129</v>
      </c>
      <c r="S231" s="473">
        <f>Taulukko8[[#This Row],[Palvelut yhteensä, €]]+Taulukko8[[#This Row],[Toimintamenot, arvio]]</f>
        <v>162577.92956935836</v>
      </c>
      <c r="T231" s="481">
        <f>(Taulukko8[[#This Row],[Palvelut + toimintamenot]]/$S$6)*$T$1</f>
        <v>170843.04173619678</v>
      </c>
      <c r="U231" s="483">
        <f>Taulukko8[[#This Row],[Palvelut + toimintamenot, skaalattu siirtyvän rahoituksen tasoon]]*0.5</f>
        <v>85421.520868098392</v>
      </c>
    </row>
    <row r="232" spans="1:21">
      <c r="A232" s="465">
        <v>739</v>
      </c>
      <c r="B232" s="456" t="s">
        <v>237</v>
      </c>
      <c r="C232" s="459">
        <v>3256</v>
      </c>
      <c r="D232" s="459">
        <v>1276</v>
      </c>
      <c r="E232" s="459">
        <v>121</v>
      </c>
      <c r="F232" s="459">
        <v>37548</v>
      </c>
      <c r="G232" s="459">
        <v>8039.6055769710219</v>
      </c>
      <c r="H232" s="459">
        <v>4823.7633461826126</v>
      </c>
      <c r="I232" s="459">
        <v>10395.81219339125</v>
      </c>
      <c r="J232" s="459">
        <v>16639.388632075472</v>
      </c>
      <c r="K232" s="459">
        <v>1205.5971318896211</v>
      </c>
      <c r="L232" s="459">
        <v>33250.76</v>
      </c>
      <c r="M232" s="459">
        <v>6902.82</v>
      </c>
      <c r="N232" s="459">
        <v>152912.44</v>
      </c>
      <c r="O232" s="473">
        <f>SUM(Taulukko8[[#This Row],[Muiden kuin pakolaisten osuus kotoutumiskoulutuksista,  €]:[Palkkatuki, yksityinen, €]])</f>
        <v>226130.58130353896</v>
      </c>
      <c r="P232" s="459">
        <f>Taulukko8[[#This Row],[Palvelut yhteensä, €]]/Taulukko8[[#This Row],[Työttömät 2022]]</f>
        <v>1868.8477793680906</v>
      </c>
      <c r="Q232" s="473">
        <v>119872.01962054581</v>
      </c>
      <c r="R232" s="459">
        <f>Taulukko8[[#This Row],[Toimintamenot, arvio]]/Taulukko8[[#This Row],[Työttömät 2022]]</f>
        <v>990.67784810368437</v>
      </c>
      <c r="S232" s="473">
        <f>Taulukko8[[#This Row],[Palvelut yhteensä, €]]+Taulukko8[[#This Row],[Toimintamenot, arvio]]</f>
        <v>346002.60092408478</v>
      </c>
      <c r="T232" s="481">
        <f>(Taulukko8[[#This Row],[Palvelut + toimintamenot]]/$S$6)*$T$1</f>
        <v>363592.62876015319</v>
      </c>
      <c r="U232" s="483">
        <f>Taulukko8[[#This Row],[Palvelut + toimintamenot, skaalattu siirtyvän rahoituksen tasoon]]*0.5</f>
        <v>181796.3143800766</v>
      </c>
    </row>
    <row r="233" spans="1:21">
      <c r="A233" s="465">
        <v>740</v>
      </c>
      <c r="B233" s="456" t="s">
        <v>238</v>
      </c>
      <c r="C233" s="459">
        <v>32085</v>
      </c>
      <c r="D233" s="459">
        <v>13636</v>
      </c>
      <c r="E233" s="459">
        <v>1574</v>
      </c>
      <c r="F233" s="459">
        <v>523775</v>
      </c>
      <c r="G233" s="459">
        <v>164152.70153333788</v>
      </c>
      <c r="H233" s="459">
        <v>98491.620920002722</v>
      </c>
      <c r="I233" s="459">
        <v>312261.82326443732</v>
      </c>
      <c r="J233" s="459">
        <v>104146.91789473683</v>
      </c>
      <c r="K233" s="459">
        <v>142359.92147692305</v>
      </c>
      <c r="L233" s="459">
        <v>1187183.3399999999</v>
      </c>
      <c r="M233" s="459">
        <v>196931.28</v>
      </c>
      <c r="N233" s="459">
        <v>1308317.05</v>
      </c>
      <c r="O233" s="473">
        <f>SUM(Taulukko8[[#This Row],[Muiden kuin pakolaisten osuus kotoutumiskoulutuksista,  €]:[Palkkatuki, yksityinen, €]])</f>
        <v>3349691.9535560999</v>
      </c>
      <c r="P233" s="459">
        <f>Taulukko8[[#This Row],[Palvelut yhteensä, €]]/Taulukko8[[#This Row],[Työttömät 2022]]</f>
        <v>2128.1397417764292</v>
      </c>
      <c r="Q233" s="473">
        <v>1679356.4742618126</v>
      </c>
      <c r="R233" s="459">
        <f>Taulukko8[[#This Row],[Toimintamenot, arvio]]/Taulukko8[[#This Row],[Työttömät 2022]]</f>
        <v>1066.9354982603638</v>
      </c>
      <c r="S233" s="473">
        <f>Taulukko8[[#This Row],[Palvelut yhteensä, €]]+Taulukko8[[#This Row],[Toimintamenot, arvio]]</f>
        <v>5029048.4278179128</v>
      </c>
      <c r="T233" s="481">
        <f>(Taulukko8[[#This Row],[Palvelut + toimintamenot]]/$S$6)*$T$1</f>
        <v>5284714.430321929</v>
      </c>
      <c r="U233" s="483">
        <f>Taulukko8[[#This Row],[Palvelut + toimintamenot, skaalattu siirtyvän rahoituksen tasoon]]*0.5</f>
        <v>2642357.2151609645</v>
      </c>
    </row>
    <row r="234" spans="1:21">
      <c r="A234" s="465">
        <v>742</v>
      </c>
      <c r="B234" s="456" t="s">
        <v>239</v>
      </c>
      <c r="C234" s="459">
        <v>988</v>
      </c>
      <c r="D234" s="459">
        <v>458</v>
      </c>
      <c r="E234" s="459">
        <v>70</v>
      </c>
      <c r="F234" s="459">
        <v>18121</v>
      </c>
      <c r="G234" s="459">
        <v>6147.0672262559838</v>
      </c>
      <c r="H234" s="459">
        <v>3688.24033575359</v>
      </c>
      <c r="I234" s="459">
        <v>12502.414774199851</v>
      </c>
      <c r="J234" s="459">
        <v>8970.4104329896927</v>
      </c>
      <c r="K234" s="459">
        <v>3548.8304342653182</v>
      </c>
      <c r="L234" s="459">
        <v>69443.12</v>
      </c>
      <c r="M234" s="459">
        <v>22581.54</v>
      </c>
      <c r="N234" s="459">
        <v>11107.76</v>
      </c>
      <c r="O234" s="473">
        <f>SUM(Taulukko8[[#This Row],[Muiden kuin pakolaisten osuus kotoutumiskoulutuksista,  €]:[Palkkatuki, yksityinen, €]])</f>
        <v>131842.31597720846</v>
      </c>
      <c r="P234" s="459">
        <f>Taulukko8[[#This Row],[Palvelut yhteensä, €]]/Taulukko8[[#This Row],[Työttömät 2022]]</f>
        <v>1883.4616568172637</v>
      </c>
      <c r="Q234" s="473">
        <v>64712.06868023007</v>
      </c>
      <c r="R234" s="459">
        <f>Taulukko8[[#This Row],[Toimintamenot, arvio]]/Taulukko8[[#This Row],[Työttömät 2022]]</f>
        <v>924.45812400328668</v>
      </c>
      <c r="S234" s="473">
        <f>Taulukko8[[#This Row],[Palvelut yhteensä, €]]+Taulukko8[[#This Row],[Toimintamenot, arvio]]</f>
        <v>196554.38465743852</v>
      </c>
      <c r="T234" s="481">
        <f>(Taulukko8[[#This Row],[Palvelut + toimintamenot]]/$S$6)*$T$1</f>
        <v>206546.78670352668</v>
      </c>
      <c r="U234" s="483">
        <f>Taulukko8[[#This Row],[Palvelut + toimintamenot, skaalattu siirtyvän rahoituksen tasoon]]*0.5</f>
        <v>103273.39335176334</v>
      </c>
    </row>
    <row r="235" spans="1:21">
      <c r="A235" s="465">
        <v>743</v>
      </c>
      <c r="B235" s="456" t="s">
        <v>240</v>
      </c>
      <c r="C235" s="459">
        <v>65323</v>
      </c>
      <c r="D235" s="459">
        <v>31684</v>
      </c>
      <c r="E235" s="459">
        <v>2141</v>
      </c>
      <c r="F235" s="459">
        <v>770239</v>
      </c>
      <c r="G235" s="459">
        <v>506203.93825009768</v>
      </c>
      <c r="H235" s="459">
        <v>303722.3629500586</v>
      </c>
      <c r="I235" s="459">
        <v>824880.90812566271</v>
      </c>
      <c r="J235" s="459">
        <v>320715.78972111549</v>
      </c>
      <c r="K235" s="459">
        <v>28390.872834205304</v>
      </c>
      <c r="L235" s="459">
        <v>835625.41</v>
      </c>
      <c r="M235" s="459">
        <v>252424.90000000002</v>
      </c>
      <c r="N235" s="459">
        <v>2633021.9300000002</v>
      </c>
      <c r="O235" s="473">
        <f>SUM(Taulukko8[[#This Row],[Muiden kuin pakolaisten osuus kotoutumiskoulutuksista,  €]:[Palkkatuki, yksityinen, €]])</f>
        <v>5198782.1736310422</v>
      </c>
      <c r="P235" s="459">
        <f>Taulukko8[[#This Row],[Palvelut yhteensä, €]]/Taulukko8[[#This Row],[Työttömät 2022]]</f>
        <v>2428.2027901125839</v>
      </c>
      <c r="Q235" s="473">
        <v>2722026.2497218037</v>
      </c>
      <c r="R235" s="459">
        <f>Taulukko8[[#This Row],[Toimintamenot, arvio]]/Taulukko8[[#This Row],[Työttömät 2022]]</f>
        <v>1271.3807798794039</v>
      </c>
      <c r="S235" s="473">
        <f>Taulukko8[[#This Row],[Palvelut yhteensä, €]]+Taulukko8[[#This Row],[Toimintamenot, arvio]]</f>
        <v>7920808.4233528459</v>
      </c>
      <c r="T235" s="481">
        <f>(Taulukko8[[#This Row],[Palvelut + toimintamenot]]/$S$6)*$T$1</f>
        <v>8323485.2826563157</v>
      </c>
      <c r="U235" s="483">
        <f>Taulukko8[[#This Row],[Palvelut + toimintamenot, skaalattu siirtyvän rahoituksen tasoon]]*0.5</f>
        <v>4161742.6413281579</v>
      </c>
    </row>
    <row r="236" spans="1:21">
      <c r="A236" s="465">
        <v>746</v>
      </c>
      <c r="B236" s="456" t="s">
        <v>241</v>
      </c>
      <c r="C236" s="459">
        <v>4735</v>
      </c>
      <c r="D236" s="459">
        <v>1932</v>
      </c>
      <c r="E236" s="459">
        <v>129</v>
      </c>
      <c r="F236" s="459">
        <v>38905</v>
      </c>
      <c r="G236" s="459">
        <v>3348.3689013829653</v>
      </c>
      <c r="H236" s="459">
        <v>2009.0213408297791</v>
      </c>
      <c r="I236" s="459">
        <v>9219.1027504200592</v>
      </c>
      <c r="J236" s="459">
        <v>805.58832369942195</v>
      </c>
      <c r="K236" s="459">
        <v>1494.4572430381099</v>
      </c>
      <c r="L236" s="459">
        <v>105826.26999999999</v>
      </c>
      <c r="M236" s="459">
        <v>9126.86</v>
      </c>
      <c r="N236" s="459">
        <v>34371.199999999997</v>
      </c>
      <c r="O236" s="473">
        <f>SUM(Taulukko8[[#This Row],[Muiden kuin pakolaisten osuus kotoutumiskoulutuksista,  €]:[Palkkatuki, yksityinen, €]])</f>
        <v>162852.49965798736</v>
      </c>
      <c r="P236" s="459">
        <f>Taulukko8[[#This Row],[Palvelut yhteensä, €]]/Taulukko8[[#This Row],[Työttömät 2022]]</f>
        <v>1262.4224779688943</v>
      </c>
      <c r="Q236" s="473">
        <v>110279.6614212859</v>
      </c>
      <c r="R236" s="459">
        <f>Taulukko8[[#This Row],[Toimintamenot, arvio]]/Taulukko8[[#This Row],[Työttömät 2022]]</f>
        <v>854.88109628903794</v>
      </c>
      <c r="S236" s="473">
        <f>Taulukko8[[#This Row],[Palvelut yhteensä, €]]+Taulukko8[[#This Row],[Toimintamenot, arvio]]</f>
        <v>273132.16107927327</v>
      </c>
      <c r="T236" s="481">
        <f>(Taulukko8[[#This Row],[Palvelut + toimintamenot]]/$S$6)*$T$1</f>
        <v>287017.61252813123</v>
      </c>
      <c r="U236" s="483">
        <f>Taulukko8[[#This Row],[Palvelut + toimintamenot, skaalattu siirtyvän rahoituksen tasoon]]*0.5</f>
        <v>143508.80626406561</v>
      </c>
    </row>
    <row r="237" spans="1:21">
      <c r="A237" s="465">
        <v>747</v>
      </c>
      <c r="B237" s="456" t="s">
        <v>242</v>
      </c>
      <c r="C237" s="459">
        <v>1308</v>
      </c>
      <c r="D237" s="459">
        <v>517</v>
      </c>
      <c r="E237" s="459">
        <v>53</v>
      </c>
      <c r="F237" s="459">
        <v>20639</v>
      </c>
      <c r="G237" s="459">
        <v>5816.0372867540018</v>
      </c>
      <c r="H237" s="459">
        <v>3489.6223720524008</v>
      </c>
      <c r="I237" s="459">
        <v>13954.438544395924</v>
      </c>
      <c r="J237" s="459">
        <v>4499.3450931677016</v>
      </c>
      <c r="K237" s="459">
        <v>1477.0990370029879</v>
      </c>
      <c r="L237" s="459">
        <v>44432.799999999996</v>
      </c>
      <c r="M237" s="459">
        <v>12892.94</v>
      </c>
      <c r="N237" s="459">
        <v>18239.509999999998</v>
      </c>
      <c r="O237" s="473">
        <f>SUM(Taulukko8[[#This Row],[Muiden kuin pakolaisten osuus kotoutumiskoulutuksista,  €]:[Palkkatuki, yksityinen, €]])</f>
        <v>98985.755046619</v>
      </c>
      <c r="P237" s="459">
        <f>Taulukko8[[#This Row],[Palvelut yhteensä, €]]/Taulukko8[[#This Row],[Työttömät 2022]]</f>
        <v>1867.6557555965849</v>
      </c>
      <c r="Q237" s="473">
        <v>68999.576027805102</v>
      </c>
      <c r="R237" s="459">
        <f>Taulukko8[[#This Row],[Toimintamenot, arvio]]/Taulukko8[[#This Row],[Työttömät 2022]]</f>
        <v>1301.8787929774549</v>
      </c>
      <c r="S237" s="473">
        <f>Taulukko8[[#This Row],[Palvelut yhteensä, €]]+Taulukko8[[#This Row],[Toimintamenot, arvio]]</f>
        <v>167985.33107442409</v>
      </c>
      <c r="T237" s="481">
        <f>(Taulukko8[[#This Row],[Palvelut + toimintamenot]]/$S$6)*$T$1</f>
        <v>176525.34390021962</v>
      </c>
      <c r="U237" s="483">
        <f>Taulukko8[[#This Row],[Palvelut + toimintamenot, skaalattu siirtyvän rahoituksen tasoon]]*0.5</f>
        <v>88262.671950109812</v>
      </c>
    </row>
    <row r="238" spans="1:21">
      <c r="A238" s="465">
        <v>748</v>
      </c>
      <c r="B238" s="456" t="s">
        <v>243</v>
      </c>
      <c r="C238" s="459">
        <v>4897</v>
      </c>
      <c r="D238" s="459">
        <v>2003</v>
      </c>
      <c r="E238" s="459">
        <v>162</v>
      </c>
      <c r="F238" s="459">
        <v>50214</v>
      </c>
      <c r="G238" s="459">
        <v>15003.268346581362</v>
      </c>
      <c r="H238" s="459">
        <v>9001.9610079488175</v>
      </c>
      <c r="I238" s="459">
        <v>41308.671939382184</v>
      </c>
      <c r="J238" s="459">
        <v>3222.3532947976878</v>
      </c>
      <c r="K238" s="459">
        <v>1876.760258699022</v>
      </c>
      <c r="L238" s="459">
        <v>230870.64</v>
      </c>
      <c r="M238" s="459">
        <v>30862.78</v>
      </c>
      <c r="N238" s="459">
        <v>34950.800000000003</v>
      </c>
      <c r="O238" s="473">
        <f>SUM(Taulukko8[[#This Row],[Muiden kuin pakolaisten osuus kotoutumiskoulutuksista,  €]:[Palkkatuki, yksityinen, €]])</f>
        <v>352093.96650082775</v>
      </c>
      <c r="P238" s="459">
        <f>Taulukko8[[#This Row],[Palvelut yhteensä, €]]/Taulukko8[[#This Row],[Työttömät 2022]]</f>
        <v>2173.4195463014057</v>
      </c>
      <c r="Q238" s="473">
        <v>142336.02155528727</v>
      </c>
      <c r="R238" s="459">
        <f>Taulukko8[[#This Row],[Toimintamenot, arvio]]/Taulukko8[[#This Row],[Työttömät 2022]]</f>
        <v>878.61741700794607</v>
      </c>
      <c r="S238" s="473">
        <f>Taulukko8[[#This Row],[Palvelut yhteensä, €]]+Taulukko8[[#This Row],[Toimintamenot, arvio]]</f>
        <v>494429.98805611499</v>
      </c>
      <c r="T238" s="481">
        <f>(Taulukko8[[#This Row],[Palvelut + toimintamenot]]/$S$6)*$T$1</f>
        <v>519565.74492518615</v>
      </c>
      <c r="U238" s="483">
        <f>Taulukko8[[#This Row],[Palvelut + toimintamenot, skaalattu siirtyvän rahoituksen tasoon]]*0.5</f>
        <v>259782.87246259308</v>
      </c>
    </row>
    <row r="239" spans="1:21">
      <c r="A239" s="465">
        <v>749</v>
      </c>
      <c r="B239" s="456" t="s">
        <v>244</v>
      </c>
      <c r="C239" s="459">
        <v>21232</v>
      </c>
      <c r="D239" s="459">
        <v>9914</v>
      </c>
      <c r="E239" s="459">
        <v>647</v>
      </c>
      <c r="F239" s="459">
        <v>201311</v>
      </c>
      <c r="G239" s="459">
        <v>80746.487930186515</v>
      </c>
      <c r="H239" s="459">
        <v>48447.892758111906</v>
      </c>
      <c r="I239" s="459">
        <v>350267.20053622342</v>
      </c>
      <c r="J239" s="459">
        <v>119782.34243386245</v>
      </c>
      <c r="K239" s="459">
        <v>7574.3699841284661</v>
      </c>
      <c r="L239" s="459">
        <v>90229.459999999992</v>
      </c>
      <c r="M239" s="459">
        <v>136155.22</v>
      </c>
      <c r="N239" s="459">
        <v>277076.83</v>
      </c>
      <c r="O239" s="473">
        <f>SUM(Taulukko8[[#This Row],[Muiden kuin pakolaisten osuus kotoutumiskoulutuksista,  €]:[Palkkatuki, yksityinen, €]])</f>
        <v>1029533.3157123262</v>
      </c>
      <c r="P239" s="459">
        <f>Taulukko8[[#This Row],[Palvelut yhteensä, €]]/Taulukko8[[#This Row],[Työttömät 2022]]</f>
        <v>1591.2416007918489</v>
      </c>
      <c r="Q239" s="473">
        <v>623208.96601429163</v>
      </c>
      <c r="R239" s="459">
        <f>Taulukko8[[#This Row],[Toimintamenot, arvio]]/Taulukko8[[#This Row],[Työttömät 2022]]</f>
        <v>963.22869553986345</v>
      </c>
      <c r="S239" s="473">
        <f>Taulukko8[[#This Row],[Palvelut yhteensä, €]]+Taulukko8[[#This Row],[Toimintamenot, arvio]]</f>
        <v>1652742.2817266178</v>
      </c>
      <c r="T239" s="481">
        <f>(Taulukko8[[#This Row],[Palvelut + toimintamenot]]/$S$6)*$T$1</f>
        <v>1736764.14359637</v>
      </c>
      <c r="U239" s="483">
        <f>Taulukko8[[#This Row],[Palvelut + toimintamenot, skaalattu siirtyvän rahoituksen tasoon]]*0.5</f>
        <v>868382.071798185</v>
      </c>
    </row>
    <row r="240" spans="1:21">
      <c r="A240" s="465">
        <v>751</v>
      </c>
      <c r="B240" s="456" t="s">
        <v>245</v>
      </c>
      <c r="C240" s="459">
        <v>2877</v>
      </c>
      <c r="D240" s="459">
        <v>1146</v>
      </c>
      <c r="E240" s="459">
        <v>109</v>
      </c>
      <c r="F240" s="459">
        <v>32116</v>
      </c>
      <c r="G240" s="459">
        <v>11279.022433497217</v>
      </c>
      <c r="H240" s="459">
        <v>6767.4134600983298</v>
      </c>
      <c r="I240" s="459">
        <v>22940.21059486211</v>
      </c>
      <c r="J240" s="459">
        <v>22426.026082474229</v>
      </c>
      <c r="K240" s="459">
        <v>5526.035961927425</v>
      </c>
      <c r="L240" s="459">
        <v>92112.82</v>
      </c>
      <c r="M240" s="459">
        <v>30604.86</v>
      </c>
      <c r="N240" s="459">
        <v>36616.79</v>
      </c>
      <c r="O240" s="473">
        <f>SUM(Taulukko8[[#This Row],[Muiden kuin pakolaisten osuus kotoutumiskoulutuksista,  €]:[Palkkatuki, yksityinen, €]])</f>
        <v>216994.1560993621</v>
      </c>
      <c r="P240" s="459">
        <f>Taulukko8[[#This Row],[Palvelut yhteensä, €]]/Taulukko8[[#This Row],[Työttömät 2022]]</f>
        <v>1990.7720743060743</v>
      </c>
      <c r="Q240" s="473">
        <v>114689.7410592279</v>
      </c>
      <c r="R240" s="459">
        <f>Taulukko8[[#This Row],[Toimintamenot, arvio]]/Taulukko8[[#This Row],[Työttömät 2022]]</f>
        <v>1052.1994592589715</v>
      </c>
      <c r="S240" s="473">
        <f>Taulukko8[[#This Row],[Palvelut yhteensä, €]]+Taulukko8[[#This Row],[Toimintamenot, arvio]]</f>
        <v>331683.89715859003</v>
      </c>
      <c r="T240" s="481">
        <f>(Taulukko8[[#This Row],[Palvelut + toimintamenot]]/$S$6)*$T$1</f>
        <v>348545.99290068343</v>
      </c>
      <c r="U240" s="483">
        <f>Taulukko8[[#This Row],[Palvelut + toimintamenot, skaalattu siirtyvän rahoituksen tasoon]]*0.5</f>
        <v>174272.99645034171</v>
      </c>
    </row>
    <row r="241" spans="1:21">
      <c r="A241" s="465">
        <v>753</v>
      </c>
      <c r="B241" s="456" t="s">
        <v>246</v>
      </c>
      <c r="C241" s="459">
        <v>22320</v>
      </c>
      <c r="D241" s="459">
        <v>11691</v>
      </c>
      <c r="E241" s="459">
        <v>747</v>
      </c>
      <c r="F241" s="459">
        <v>207188</v>
      </c>
      <c r="G241" s="459">
        <v>235601.0454596667</v>
      </c>
      <c r="H241" s="459">
        <v>141360.62727580001</v>
      </c>
      <c r="I241" s="459">
        <v>124029.83045714138</v>
      </c>
      <c r="J241" s="459">
        <v>91667.874644958807</v>
      </c>
      <c r="K241" s="459">
        <v>19877.666004445447</v>
      </c>
      <c r="L241" s="459">
        <v>85258.15</v>
      </c>
      <c r="M241" s="459">
        <v>189528.38</v>
      </c>
      <c r="N241" s="459">
        <v>201555.05</v>
      </c>
      <c r="O241" s="473">
        <f>SUM(Taulukko8[[#This Row],[Muiden kuin pakolaisten osuus kotoutumiskoulutuksista,  €]:[Palkkatuki, yksityinen, €]])</f>
        <v>853277.57838234561</v>
      </c>
      <c r="P241" s="459">
        <f>Taulukko8[[#This Row],[Palvelut yhteensä, €]]/Taulukko8[[#This Row],[Työttömät 2022]]</f>
        <v>1142.2725279549472</v>
      </c>
      <c r="Q241" s="473">
        <v>618616.7557863181</v>
      </c>
      <c r="R241" s="459">
        <f>Taulukko8[[#This Row],[Toimintamenot, arvio]]/Taulukko8[[#This Row],[Työttömät 2022]]</f>
        <v>828.13488057070697</v>
      </c>
      <c r="S241" s="473">
        <f>Taulukko8[[#This Row],[Palvelut yhteensä, €]]+Taulukko8[[#This Row],[Toimintamenot, arvio]]</f>
        <v>1471894.3341686637</v>
      </c>
      <c r="T241" s="481">
        <f>(Taulukko8[[#This Row],[Palvelut + toimintamenot]]/$S$6)*$T$1</f>
        <v>1546722.2754634139</v>
      </c>
      <c r="U241" s="483">
        <f>Taulukko8[[#This Row],[Palvelut + toimintamenot, skaalattu siirtyvän rahoituksen tasoon]]*0.5</f>
        <v>773361.13773170696</v>
      </c>
    </row>
    <row r="242" spans="1:21">
      <c r="A242" s="465">
        <v>755</v>
      </c>
      <c r="B242" s="456" t="s">
        <v>247</v>
      </c>
      <c r="C242" s="459">
        <v>6217</v>
      </c>
      <c r="D242" s="459">
        <v>3164</v>
      </c>
      <c r="E242" s="459">
        <v>160</v>
      </c>
      <c r="F242" s="459">
        <v>55227</v>
      </c>
      <c r="G242" s="459">
        <v>1322.1158555536852</v>
      </c>
      <c r="H242" s="459">
        <v>793.26951333221109</v>
      </c>
      <c r="I242" s="459">
        <v>696.01476126341959</v>
      </c>
      <c r="J242" s="459">
        <v>27252.6113809337</v>
      </c>
      <c r="K242" s="459">
        <v>4257.5991441917959</v>
      </c>
      <c r="L242" s="459">
        <v>112961.43000000001</v>
      </c>
      <c r="M242" s="459">
        <v>27605.5</v>
      </c>
      <c r="N242" s="459">
        <v>23009.85</v>
      </c>
      <c r="O242" s="473">
        <f>SUM(Taulukko8[[#This Row],[Muiden kuin pakolaisten osuus kotoutumiskoulutuksista,  €]:[Palkkatuki, yksityinen, €]])</f>
        <v>196576.27479972114</v>
      </c>
      <c r="P242" s="459">
        <f>Taulukko8[[#This Row],[Palvelut yhteensä, €]]/Taulukko8[[#This Row],[Työttömät 2022]]</f>
        <v>1228.6017174982571</v>
      </c>
      <c r="Q242" s="473">
        <v>164895.3972807836</v>
      </c>
      <c r="R242" s="459">
        <f>Taulukko8[[#This Row],[Toimintamenot, arvio]]/Taulukko8[[#This Row],[Työttömät 2022]]</f>
        <v>1030.5962330048974</v>
      </c>
      <c r="S242" s="473">
        <f>Taulukko8[[#This Row],[Palvelut yhteensä, €]]+Taulukko8[[#This Row],[Toimintamenot, arvio]]</f>
        <v>361471.67208050471</v>
      </c>
      <c r="T242" s="481">
        <f>(Taulukko8[[#This Row],[Palvelut + toimintamenot]]/$S$6)*$T$1</f>
        <v>379848.11421378603</v>
      </c>
      <c r="U242" s="483">
        <f>Taulukko8[[#This Row],[Palvelut + toimintamenot, skaalattu siirtyvän rahoituksen tasoon]]*0.5</f>
        <v>189924.05710689301</v>
      </c>
    </row>
    <row r="243" spans="1:21">
      <c r="A243" s="465">
        <v>758</v>
      </c>
      <c r="B243" s="456" t="s">
        <v>248</v>
      </c>
      <c r="C243" s="459">
        <v>8134</v>
      </c>
      <c r="D243" s="459">
        <v>3837</v>
      </c>
      <c r="E243" s="459">
        <v>261</v>
      </c>
      <c r="F243" s="459">
        <v>94424</v>
      </c>
      <c r="G243" s="459">
        <v>25716.171148373654</v>
      </c>
      <c r="H243" s="459">
        <v>15429.702689024192</v>
      </c>
      <c r="I243" s="459">
        <v>52303.680156285613</v>
      </c>
      <c r="J243" s="459">
        <v>76248.488680412382</v>
      </c>
      <c r="K243" s="459">
        <v>13232.067762046403</v>
      </c>
      <c r="L243" s="459">
        <v>174962.99</v>
      </c>
      <c r="M243" s="459">
        <v>72614.539999999994</v>
      </c>
      <c r="N243" s="459">
        <v>266401.73</v>
      </c>
      <c r="O243" s="473">
        <f>SUM(Taulukko8[[#This Row],[Muiden kuin pakolaisten osuus kotoutumiskoulutuksista,  €]:[Palkkatuki, yksityinen, €]])</f>
        <v>671193.19928776857</v>
      </c>
      <c r="P243" s="459">
        <f>Taulukko8[[#This Row],[Palvelut yhteensä, €]]/Taulukko8[[#This Row],[Työttömät 2022]]</f>
        <v>2571.6214532098411</v>
      </c>
      <c r="Q243" s="473">
        <v>337198.40919717698</v>
      </c>
      <c r="R243" s="459">
        <f>Taulukko8[[#This Row],[Toimintamenot, arvio]]/Taulukko8[[#This Row],[Työttömät 2022]]</f>
        <v>1291.9479279585325</v>
      </c>
      <c r="S243" s="473">
        <f>Taulukko8[[#This Row],[Palvelut yhteensä, €]]+Taulukko8[[#This Row],[Toimintamenot, arvio]]</f>
        <v>1008391.6084849455</v>
      </c>
      <c r="T243" s="481">
        <f>(Taulukko8[[#This Row],[Palvelut + toimintamenot]]/$S$6)*$T$1</f>
        <v>1059656.0683922854</v>
      </c>
      <c r="U243" s="483">
        <f>Taulukko8[[#This Row],[Palvelut + toimintamenot, skaalattu siirtyvän rahoituksen tasoon]]*0.5</f>
        <v>529828.03419614269</v>
      </c>
    </row>
    <row r="244" spans="1:21">
      <c r="A244" s="465">
        <v>759</v>
      </c>
      <c r="B244" s="456" t="s">
        <v>249</v>
      </c>
      <c r="C244" s="459">
        <v>1942</v>
      </c>
      <c r="D244" s="459">
        <v>779</v>
      </c>
      <c r="E244" s="459">
        <v>50</v>
      </c>
      <c r="F244" s="459">
        <v>19387</v>
      </c>
      <c r="G244" s="459">
        <v>12433.717630154566</v>
      </c>
      <c r="H244" s="459">
        <v>7460.2305780927391</v>
      </c>
      <c r="I244" s="459">
        <v>20261.273204620276</v>
      </c>
      <c r="J244" s="459">
        <v>7822.3363346613542</v>
      </c>
      <c r="K244" s="459">
        <v>663.0283240122676</v>
      </c>
      <c r="L244" s="459">
        <v>14626.029999999999</v>
      </c>
      <c r="M244" s="459">
        <v>29281.760000000002</v>
      </c>
      <c r="N244" s="459">
        <v>55482.71</v>
      </c>
      <c r="O244" s="473">
        <f>SUM(Taulukko8[[#This Row],[Muiden kuin pakolaisten osuus kotoutumiskoulutuksista,  €]:[Palkkatuki, yksityinen, €]])</f>
        <v>135597.36844138664</v>
      </c>
      <c r="P244" s="459">
        <f>Taulukko8[[#This Row],[Palvelut yhteensä, €]]/Taulukko8[[#This Row],[Työttömät 2022]]</f>
        <v>2711.947368827733</v>
      </c>
      <c r="Q244" s="473">
        <v>68513.698869255648</v>
      </c>
      <c r="R244" s="459">
        <f>Taulukko8[[#This Row],[Toimintamenot, arvio]]/Taulukko8[[#This Row],[Työttömät 2022]]</f>
        <v>1370.2739773851129</v>
      </c>
      <c r="S244" s="473">
        <f>Taulukko8[[#This Row],[Palvelut yhteensä, €]]+Taulukko8[[#This Row],[Toimintamenot, arvio]]</f>
        <v>204111.06731064228</v>
      </c>
      <c r="T244" s="481">
        <f>(Taulukko8[[#This Row],[Palvelut + toimintamenot]]/$S$6)*$T$1</f>
        <v>214487.63484526487</v>
      </c>
      <c r="U244" s="483">
        <f>Taulukko8[[#This Row],[Palvelut + toimintamenot, skaalattu siirtyvän rahoituksen tasoon]]*0.5</f>
        <v>107243.81742263243</v>
      </c>
    </row>
    <row r="245" spans="1:21">
      <c r="A245" s="465">
        <v>761</v>
      </c>
      <c r="B245" s="456" t="s">
        <v>250</v>
      </c>
      <c r="C245" s="459">
        <v>8426</v>
      </c>
      <c r="D245" s="459">
        <v>3535</v>
      </c>
      <c r="E245" s="459">
        <v>252</v>
      </c>
      <c r="F245" s="459">
        <v>86754</v>
      </c>
      <c r="G245" s="459">
        <v>38172.094887051404</v>
      </c>
      <c r="H245" s="459">
        <v>22903.256932230841</v>
      </c>
      <c r="I245" s="459">
        <v>24421.17739323161</v>
      </c>
      <c r="J245" s="459">
        <v>20867.421174129355</v>
      </c>
      <c r="K245" s="459">
        <v>2369.9023255813954</v>
      </c>
      <c r="L245" s="459">
        <v>146928.32000000001</v>
      </c>
      <c r="M245" s="459">
        <v>31303.93</v>
      </c>
      <c r="N245" s="459">
        <v>124233.88</v>
      </c>
      <c r="O245" s="473">
        <f>SUM(Taulukko8[[#This Row],[Muiden kuin pakolaisten osuus kotoutumiskoulutuksista,  €]:[Palkkatuki, yksityinen, €]])</f>
        <v>373027.88782517321</v>
      </c>
      <c r="P245" s="459">
        <f>Taulukko8[[#This Row],[Palvelut yhteensä, €]]/Taulukko8[[#This Row],[Työttömät 2022]]</f>
        <v>1480.2693961316397</v>
      </c>
      <c r="Q245" s="473">
        <v>243503.32428762421</v>
      </c>
      <c r="R245" s="459">
        <f>Taulukko8[[#This Row],[Toimintamenot, arvio]]/Taulukko8[[#This Row],[Työttömät 2022]]</f>
        <v>966.28303288739767</v>
      </c>
      <c r="S245" s="473">
        <f>Taulukko8[[#This Row],[Palvelut yhteensä, €]]+Taulukko8[[#This Row],[Toimintamenot, arvio]]</f>
        <v>616531.21211279742</v>
      </c>
      <c r="T245" s="481">
        <f>(Taulukko8[[#This Row],[Palvelut + toimintamenot]]/$S$6)*$T$1</f>
        <v>647874.33252260194</v>
      </c>
      <c r="U245" s="483">
        <f>Taulukko8[[#This Row],[Palvelut + toimintamenot, skaalattu siirtyvän rahoituksen tasoon]]*0.5</f>
        <v>323937.16626130097</v>
      </c>
    </row>
    <row r="246" spans="1:21">
      <c r="A246" s="465">
        <v>762</v>
      </c>
      <c r="B246" s="456" t="s">
        <v>251</v>
      </c>
      <c r="C246" s="459">
        <v>3672</v>
      </c>
      <c r="D246" s="459">
        <v>1494</v>
      </c>
      <c r="E246" s="459">
        <v>154</v>
      </c>
      <c r="F246" s="459">
        <v>49404</v>
      </c>
      <c r="G246" s="459">
        <v>17045.884253879132</v>
      </c>
      <c r="H246" s="459">
        <v>10227.530552327478</v>
      </c>
      <c r="I246" s="459">
        <v>73942.710219581742</v>
      </c>
      <c r="J246" s="459">
        <v>29945.585608465612</v>
      </c>
      <c r="K246" s="459">
        <v>1802.86395294557</v>
      </c>
      <c r="L246" s="459">
        <v>132840.66999999998</v>
      </c>
      <c r="M246" s="459">
        <v>3676.38</v>
      </c>
      <c r="N246" s="459">
        <v>115635.29</v>
      </c>
      <c r="O246" s="473">
        <f>SUM(Taulukko8[[#This Row],[Muiden kuin pakolaisten osuus kotoutumiskoulutuksista,  €]:[Palkkatuki, yksityinen, €]])</f>
        <v>368071.03033332038</v>
      </c>
      <c r="P246" s="459">
        <f>Taulukko8[[#This Row],[Palvelut yhteensä, €]]/Taulukko8[[#This Row],[Työttömät 2022]]</f>
        <v>2390.0716255410416</v>
      </c>
      <c r="Q246" s="473">
        <v>152942.54043231648</v>
      </c>
      <c r="R246" s="459">
        <f>Taulukko8[[#This Row],[Toimintamenot, arvio]]/Taulukko8[[#This Row],[Työttömät 2022]]</f>
        <v>993.13337943062652</v>
      </c>
      <c r="S246" s="473">
        <f>Taulukko8[[#This Row],[Palvelut yhteensä, €]]+Taulukko8[[#This Row],[Toimintamenot, arvio]]</f>
        <v>521013.57076563686</v>
      </c>
      <c r="T246" s="481">
        <f>(Taulukko8[[#This Row],[Palvelut + toimintamenot]]/$S$6)*$T$1</f>
        <v>547500.77978736255</v>
      </c>
      <c r="U246" s="483">
        <f>Taulukko8[[#This Row],[Palvelut + toimintamenot, skaalattu siirtyvän rahoituksen tasoon]]*0.5</f>
        <v>273750.38989368128</v>
      </c>
    </row>
    <row r="247" spans="1:21">
      <c r="A247" s="465">
        <v>765</v>
      </c>
      <c r="B247" s="456" t="s">
        <v>252</v>
      </c>
      <c r="C247" s="459">
        <v>10354</v>
      </c>
      <c r="D247" s="459">
        <v>4706</v>
      </c>
      <c r="E247" s="459">
        <v>261</v>
      </c>
      <c r="F247" s="459">
        <v>109454</v>
      </c>
      <c r="G247" s="459">
        <v>233853.96004278073</v>
      </c>
      <c r="H247" s="459">
        <v>140312.37602566843</v>
      </c>
      <c r="I247" s="459">
        <v>248078.1883550802</v>
      </c>
      <c r="J247" s="459">
        <v>53371.342702702706</v>
      </c>
      <c r="K247" s="459">
        <v>1737.033503184713</v>
      </c>
      <c r="L247" s="459">
        <v>282733.49</v>
      </c>
      <c r="M247" s="459">
        <v>91818.040000000008</v>
      </c>
      <c r="N247" s="459">
        <v>280935.55</v>
      </c>
      <c r="O247" s="473">
        <f>SUM(Taulukko8[[#This Row],[Muiden kuin pakolaisten osuus kotoutumiskoulutuksista,  €]:[Palkkatuki, yksityinen, €]])</f>
        <v>1098986.0205866362</v>
      </c>
      <c r="P247" s="459">
        <f>Taulukko8[[#This Row],[Palvelut yhteensä, €]]/Taulukko8[[#This Row],[Työttömät 2022]]</f>
        <v>4210.6744083779167</v>
      </c>
      <c r="Q247" s="473">
        <v>388957.56098010339</v>
      </c>
      <c r="R247" s="459">
        <f>Taulukko8[[#This Row],[Toimintamenot, arvio]]/Taulukko8[[#This Row],[Työttömät 2022]]</f>
        <v>1490.258854329898</v>
      </c>
      <c r="S247" s="473">
        <f>Taulukko8[[#This Row],[Palvelut yhteensä, €]]+Taulukko8[[#This Row],[Toimintamenot, arvio]]</f>
        <v>1487943.5815667396</v>
      </c>
      <c r="T247" s="481">
        <f>(Taulukko8[[#This Row],[Palvelut + toimintamenot]]/$S$6)*$T$1</f>
        <v>1563587.4320706287</v>
      </c>
      <c r="U247" s="483">
        <f>Taulukko8[[#This Row],[Palvelut + toimintamenot, skaalattu siirtyvän rahoituksen tasoon]]*0.5</f>
        <v>781793.71603531437</v>
      </c>
    </row>
    <row r="248" spans="1:21">
      <c r="A248" s="465">
        <v>768</v>
      </c>
      <c r="B248" s="456" t="s">
        <v>253</v>
      </c>
      <c r="C248" s="459">
        <v>2375</v>
      </c>
      <c r="D248" s="459">
        <v>910</v>
      </c>
      <c r="E248" s="459">
        <v>79</v>
      </c>
      <c r="F248" s="459">
        <v>26986</v>
      </c>
      <c r="G248" s="459">
        <v>18955.930718258598</v>
      </c>
      <c r="H248" s="459">
        <v>11373.558430955158</v>
      </c>
      <c r="I248" s="459">
        <v>36059.190208061533</v>
      </c>
      <c r="J248" s="459">
        <v>30376.184385964913</v>
      </c>
      <c r="K248" s="459">
        <v>7145.1294769230772</v>
      </c>
      <c r="L248" s="459">
        <v>60978.39</v>
      </c>
      <c r="M248" s="459">
        <v>14807.16</v>
      </c>
      <c r="N248" s="459">
        <v>71116.990000000005</v>
      </c>
      <c r="O248" s="473">
        <f>SUM(Taulukko8[[#This Row],[Muiden kuin pakolaisten osuus kotoutumiskoulutuksista,  €]:[Palkkatuki, yksityinen, €]])</f>
        <v>231856.60250190471</v>
      </c>
      <c r="P248" s="459">
        <f>Taulukko8[[#This Row],[Palvelut yhteensä, €]]/Taulukko8[[#This Row],[Työttömät 2022]]</f>
        <v>2934.8937025557557</v>
      </c>
      <c r="Q248" s="473">
        <v>86524.010910084049</v>
      </c>
      <c r="R248" s="459">
        <f>Taulukko8[[#This Row],[Toimintamenot, arvio]]/Taulukko8[[#This Row],[Työttömät 2022]]</f>
        <v>1095.2406444314436</v>
      </c>
      <c r="S248" s="473">
        <f>Taulukko8[[#This Row],[Palvelut yhteensä, €]]+Taulukko8[[#This Row],[Toimintamenot, arvio]]</f>
        <v>318380.61341198877</v>
      </c>
      <c r="T248" s="481">
        <f>(Taulukko8[[#This Row],[Palvelut + toimintamenot]]/$S$6)*$T$1</f>
        <v>334566.39882927871</v>
      </c>
      <c r="U248" s="483">
        <f>Taulukko8[[#This Row],[Palvelut + toimintamenot, skaalattu siirtyvän rahoituksen tasoon]]*0.5</f>
        <v>167283.19941463936</v>
      </c>
    </row>
    <row r="249" spans="1:21">
      <c r="A249" s="465">
        <v>777</v>
      </c>
      <c r="B249" s="456" t="s">
        <v>254</v>
      </c>
      <c r="C249" s="459">
        <v>7367</v>
      </c>
      <c r="D249" s="459">
        <v>2874</v>
      </c>
      <c r="E249" s="459">
        <v>316</v>
      </c>
      <c r="F249" s="459">
        <v>111423</v>
      </c>
      <c r="G249" s="459">
        <v>108965.48849554367</v>
      </c>
      <c r="H249" s="459">
        <v>65379.293097326197</v>
      </c>
      <c r="I249" s="459">
        <v>115593.34284634581</v>
      </c>
      <c r="J249" s="459">
        <v>26685.671351351353</v>
      </c>
      <c r="K249" s="459">
        <v>2103.0750460014151</v>
      </c>
      <c r="L249" s="459">
        <v>223743.71000000002</v>
      </c>
      <c r="M249" s="459">
        <v>25150.239999999998</v>
      </c>
      <c r="N249" s="459">
        <v>261238.97</v>
      </c>
      <c r="O249" s="473">
        <f>SUM(Taulukko8[[#This Row],[Muiden kuin pakolaisten osuus kotoutumiskoulutuksista,  €]:[Palkkatuki, yksityinen, €]])</f>
        <v>719894.30234102474</v>
      </c>
      <c r="P249" s="459">
        <f>Taulukko8[[#This Row],[Palvelut yhteensä, €]]/Taulukko8[[#This Row],[Työttömät 2022]]</f>
        <v>2278.1465263956479</v>
      </c>
      <c r="Q249" s="473">
        <v>395954.63223898679</v>
      </c>
      <c r="R249" s="459">
        <f>Taulukko8[[#This Row],[Toimintamenot, arvio]]/Taulukko8[[#This Row],[Työttömät 2022]]</f>
        <v>1253.0209880980594</v>
      </c>
      <c r="S249" s="473">
        <f>Taulukko8[[#This Row],[Palvelut yhteensä, €]]+Taulukko8[[#This Row],[Toimintamenot, arvio]]</f>
        <v>1115848.9345800115</v>
      </c>
      <c r="T249" s="481">
        <f>(Taulukko8[[#This Row],[Palvelut + toimintamenot]]/$S$6)*$T$1</f>
        <v>1172576.2937608061</v>
      </c>
      <c r="U249" s="483">
        <f>Taulukko8[[#This Row],[Palvelut + toimintamenot, skaalattu siirtyvän rahoituksen tasoon]]*0.5</f>
        <v>586288.14688040304</v>
      </c>
    </row>
    <row r="250" spans="1:21">
      <c r="A250" s="465">
        <v>778</v>
      </c>
      <c r="B250" s="456" t="s">
        <v>255</v>
      </c>
      <c r="C250" s="459">
        <v>6763</v>
      </c>
      <c r="D250" s="459">
        <v>2816</v>
      </c>
      <c r="E250" s="459">
        <v>206</v>
      </c>
      <c r="F250" s="459">
        <v>78156</v>
      </c>
      <c r="G250" s="459">
        <v>16321.098624186636</v>
      </c>
      <c r="H250" s="459">
        <v>9792.6591745119804</v>
      </c>
      <c r="I250" s="459">
        <v>70798.689470087716</v>
      </c>
      <c r="J250" s="459">
        <v>22459.189206349209</v>
      </c>
      <c r="K250" s="459">
        <v>2411.623209784334</v>
      </c>
      <c r="L250" s="459">
        <v>104791.81</v>
      </c>
      <c r="M250" s="459">
        <v>59700</v>
      </c>
      <c r="N250" s="459">
        <v>108653.12000000001</v>
      </c>
      <c r="O250" s="473">
        <f>SUM(Taulukko8[[#This Row],[Muiden kuin pakolaisten osuus kotoutumiskoulutuksista,  €]:[Palkkatuki, yksityinen, €]])</f>
        <v>378607.09106073325</v>
      </c>
      <c r="P250" s="459">
        <f>Taulukko8[[#This Row],[Palvelut yhteensä, €]]/Taulukko8[[#This Row],[Työttömät 2022]]</f>
        <v>1837.8985002948216</v>
      </c>
      <c r="Q250" s="473">
        <v>241951.60695547174</v>
      </c>
      <c r="R250" s="459">
        <f>Taulukko8[[#This Row],[Toimintamenot, arvio]]/Taulukko8[[#This Row],[Työttömät 2022]]</f>
        <v>1174.5223638615132</v>
      </c>
      <c r="S250" s="473">
        <f>Taulukko8[[#This Row],[Palvelut yhteensä, €]]+Taulukko8[[#This Row],[Toimintamenot, arvio]]</f>
        <v>620558.69801620499</v>
      </c>
      <c r="T250" s="481">
        <f>(Taulukko8[[#This Row],[Palvelut + toimintamenot]]/$S$6)*$T$1</f>
        <v>652106.56714454829</v>
      </c>
      <c r="U250" s="483">
        <f>Taulukko8[[#This Row],[Palvelut + toimintamenot, skaalattu siirtyvän rahoituksen tasoon]]*0.5</f>
        <v>326053.28357227414</v>
      </c>
    </row>
    <row r="251" spans="1:21">
      <c r="A251" s="465">
        <v>781</v>
      </c>
      <c r="B251" s="456" t="s">
        <v>256</v>
      </c>
      <c r="C251" s="459">
        <v>3504</v>
      </c>
      <c r="D251" s="459">
        <v>1272</v>
      </c>
      <c r="E251" s="459">
        <v>126</v>
      </c>
      <c r="F251" s="459">
        <v>42781</v>
      </c>
      <c r="G251" s="459">
        <v>12819.177574000734</v>
      </c>
      <c r="H251" s="459">
        <v>7691.5065444004404</v>
      </c>
      <c r="I251" s="459">
        <v>6216.5714449026254</v>
      </c>
      <c r="J251" s="459">
        <v>6394.814245562131</v>
      </c>
      <c r="K251" s="459">
        <v>1713.8440209251098</v>
      </c>
      <c r="L251" s="459">
        <v>37213.21</v>
      </c>
      <c r="M251" s="459">
        <v>21328.36</v>
      </c>
      <c r="N251" s="459">
        <v>168351.21</v>
      </c>
      <c r="O251" s="473">
        <f>SUM(Taulukko8[[#This Row],[Muiden kuin pakolaisten osuus kotoutumiskoulutuksista,  €]:[Palkkatuki, yksityinen, €]])</f>
        <v>248909.51625579031</v>
      </c>
      <c r="P251" s="459">
        <f>Taulukko8[[#This Row],[Palvelut yhteensä, €]]/Taulukko8[[#This Row],[Työttömät 2022]]</f>
        <v>1975.472351236431</v>
      </c>
      <c r="Q251" s="473">
        <v>125715.97819313545</v>
      </c>
      <c r="R251" s="459">
        <f>Taulukko8[[#This Row],[Toimintamenot, arvio]]/Taulukko8[[#This Row],[Työttömät 2022]]</f>
        <v>997.74585867567816</v>
      </c>
      <c r="S251" s="473">
        <f>Taulukko8[[#This Row],[Palvelut yhteensä, €]]+Taulukko8[[#This Row],[Toimintamenot, arvio]]</f>
        <v>374625.49444892578</v>
      </c>
      <c r="T251" s="481">
        <f>(Taulukko8[[#This Row],[Palvelut + toimintamenot]]/$S$6)*$T$1</f>
        <v>393670.64861209731</v>
      </c>
      <c r="U251" s="483">
        <f>Taulukko8[[#This Row],[Palvelut + toimintamenot, skaalattu siirtyvän rahoituksen tasoon]]*0.5</f>
        <v>196835.32430604866</v>
      </c>
    </row>
    <row r="252" spans="1:21">
      <c r="A252" s="465">
        <v>783</v>
      </c>
      <c r="B252" s="456" t="s">
        <v>257</v>
      </c>
      <c r="C252" s="459">
        <v>6419</v>
      </c>
      <c r="D252" s="459">
        <v>2875</v>
      </c>
      <c r="E252" s="459">
        <v>174</v>
      </c>
      <c r="F252" s="459">
        <v>62852</v>
      </c>
      <c r="G252" s="459">
        <v>16346.125848034933</v>
      </c>
      <c r="H252" s="459">
        <v>9807.6755088209593</v>
      </c>
      <c r="I252" s="459">
        <v>39219.316751091705</v>
      </c>
      <c r="J252" s="459">
        <v>13498.035279503107</v>
      </c>
      <c r="K252" s="459">
        <v>4849.3440082739598</v>
      </c>
      <c r="L252" s="459">
        <v>41096.160000000003</v>
      </c>
      <c r="M252" s="459">
        <v>35345.32</v>
      </c>
      <c r="N252" s="459">
        <v>24087.690000000002</v>
      </c>
      <c r="O252" s="473">
        <f>SUM(Taulukko8[[#This Row],[Muiden kuin pakolaisten osuus kotoutumiskoulutuksista,  €]:[Palkkatuki, yksityinen, €]])</f>
        <v>167903.54154768973</v>
      </c>
      <c r="P252" s="459">
        <f>Taulukko8[[#This Row],[Palvelut yhteensä, €]]/Taulukko8[[#This Row],[Työttömät 2022]]</f>
        <v>964.96288245798701</v>
      </c>
      <c r="Q252" s="473">
        <v>210124.58706815282</v>
      </c>
      <c r="R252" s="459">
        <f>Taulukko8[[#This Row],[Toimintamenot, arvio]]/Taulukko8[[#This Row],[Työttömät 2022]]</f>
        <v>1207.6125693572001</v>
      </c>
      <c r="S252" s="473">
        <f>Taulukko8[[#This Row],[Palvelut yhteensä, €]]+Taulukko8[[#This Row],[Toimintamenot, arvio]]</f>
        <v>378028.12861584255</v>
      </c>
      <c r="T252" s="481">
        <f>(Taulukko8[[#This Row],[Palvelut + toimintamenot]]/$S$6)*$T$1</f>
        <v>397246.26537958463</v>
      </c>
      <c r="U252" s="483">
        <f>Taulukko8[[#This Row],[Palvelut + toimintamenot, skaalattu siirtyvän rahoituksen tasoon]]*0.5</f>
        <v>198623.13268979231</v>
      </c>
    </row>
    <row r="253" spans="1:21">
      <c r="A253" s="465">
        <v>785</v>
      </c>
      <c r="B253" s="456" t="s">
        <v>258</v>
      </c>
      <c r="C253" s="459">
        <v>2626</v>
      </c>
      <c r="D253" s="459">
        <v>999</v>
      </c>
      <c r="E253" s="459">
        <v>131</v>
      </c>
      <c r="F253" s="459">
        <v>37849</v>
      </c>
      <c r="G253" s="459">
        <v>18866.770925100169</v>
      </c>
      <c r="H253" s="459">
        <v>11320.062555060102</v>
      </c>
      <c r="I253" s="459">
        <v>51946.098189866876</v>
      </c>
      <c r="J253" s="459">
        <v>805.58832369942195</v>
      </c>
      <c r="K253" s="459">
        <v>1517.6271227751349</v>
      </c>
      <c r="L253" s="459">
        <v>223772.61</v>
      </c>
      <c r="M253" s="459">
        <v>5455.98</v>
      </c>
      <c r="N253" s="459">
        <v>189524.12</v>
      </c>
      <c r="O253" s="473">
        <f>SUM(Taulukko8[[#This Row],[Muiden kuin pakolaisten osuus kotoutumiskoulutuksista,  €]:[Palkkatuki, yksityinen, €]])</f>
        <v>484342.08619140147</v>
      </c>
      <c r="P253" s="459">
        <f>Taulukko8[[#This Row],[Palvelut yhteensä, €]]/Taulukko8[[#This Row],[Työttömät 2022]]</f>
        <v>3697.2678335221485</v>
      </c>
      <c r="Q253" s="473">
        <v>107286.33607850535</v>
      </c>
      <c r="R253" s="459">
        <f>Taulukko8[[#This Row],[Toimintamenot, arvio]]/Taulukko8[[#This Row],[Työttömät 2022]]</f>
        <v>818.97966472141491</v>
      </c>
      <c r="S253" s="473">
        <f>Taulukko8[[#This Row],[Palvelut yhteensä, €]]+Taulukko8[[#This Row],[Toimintamenot, arvio]]</f>
        <v>591628.42226990685</v>
      </c>
      <c r="T253" s="481">
        <f>(Taulukko8[[#This Row],[Palvelut + toimintamenot]]/$S$6)*$T$1</f>
        <v>621705.53842031467</v>
      </c>
      <c r="U253" s="483">
        <f>Taulukko8[[#This Row],[Palvelut + toimintamenot, skaalattu siirtyvän rahoituksen tasoon]]*0.5</f>
        <v>310852.76921015733</v>
      </c>
    </row>
    <row r="254" spans="1:21">
      <c r="A254" s="465">
        <v>790</v>
      </c>
      <c r="B254" s="456" t="s">
        <v>259</v>
      </c>
      <c r="C254" s="459">
        <v>23734</v>
      </c>
      <c r="D254" s="459">
        <v>10024</v>
      </c>
      <c r="E254" s="459">
        <v>613</v>
      </c>
      <c r="F254" s="459">
        <v>255319</v>
      </c>
      <c r="G254" s="459">
        <v>80890.249203509273</v>
      </c>
      <c r="H254" s="459">
        <v>48534.149522105559</v>
      </c>
      <c r="I254" s="459">
        <v>117773.65742902344</v>
      </c>
      <c r="J254" s="459">
        <v>119912.91716981132</v>
      </c>
      <c r="K254" s="459">
        <v>5379.8984113728056</v>
      </c>
      <c r="L254" s="459">
        <v>180707.35</v>
      </c>
      <c r="M254" s="459">
        <v>234043.58</v>
      </c>
      <c r="N254" s="459">
        <v>483572.5</v>
      </c>
      <c r="O254" s="473">
        <f>SUM(Taulukko8[[#This Row],[Muiden kuin pakolaisten osuus kotoutumiskoulutuksista,  €]:[Palkkatuki, yksityinen, €]])</f>
        <v>1189924.0525323129</v>
      </c>
      <c r="P254" s="459">
        <f>Taulukko8[[#This Row],[Palvelut yhteensä, €]]/Taulukko8[[#This Row],[Työttömät 2022]]</f>
        <v>1941.1485359417829</v>
      </c>
      <c r="Q254" s="473">
        <v>700140.70953353972</v>
      </c>
      <c r="R254" s="459">
        <f>Taulukko8[[#This Row],[Toimintamenot, arvio]]/Taulukko8[[#This Row],[Työttömät 2022]]</f>
        <v>1142.1545016860355</v>
      </c>
      <c r="S254" s="473">
        <f>Taulukko8[[#This Row],[Palvelut yhteensä, €]]+Taulukko8[[#This Row],[Toimintamenot, arvio]]</f>
        <v>1890064.7620658525</v>
      </c>
      <c r="T254" s="481">
        <f>(Taulukko8[[#This Row],[Palvelut + toimintamenot]]/$S$6)*$T$1</f>
        <v>1986151.5882570951</v>
      </c>
      <c r="U254" s="483">
        <f>Taulukko8[[#This Row],[Palvelut + toimintamenot, skaalattu siirtyvän rahoituksen tasoon]]*0.5</f>
        <v>993075.79412854754</v>
      </c>
    </row>
    <row r="255" spans="1:21">
      <c r="A255" s="465">
        <v>791</v>
      </c>
      <c r="B255" s="456" t="s">
        <v>260</v>
      </c>
      <c r="C255" s="459">
        <v>5029</v>
      </c>
      <c r="D255" s="459">
        <v>2105</v>
      </c>
      <c r="E255" s="459">
        <v>177</v>
      </c>
      <c r="F255" s="459">
        <v>54629</v>
      </c>
      <c r="G255" s="459">
        <v>7501.6341732906812</v>
      </c>
      <c r="H255" s="459">
        <v>4500.9805039744087</v>
      </c>
      <c r="I255" s="459">
        <v>20654.335969691092</v>
      </c>
      <c r="J255" s="459">
        <v>3222.3532947976878</v>
      </c>
      <c r="K255" s="459">
        <v>2050.5343567267091</v>
      </c>
      <c r="L255" s="459">
        <v>101984.99</v>
      </c>
      <c r="M255" s="459">
        <v>14525.099999999999</v>
      </c>
      <c r="N255" s="459">
        <v>54026.36</v>
      </c>
      <c r="O255" s="473">
        <f>SUM(Taulukko8[[#This Row],[Muiden kuin pakolaisten osuus kotoutumiskoulutuksista,  €]:[Palkkatuki, yksityinen, €]])</f>
        <v>200964.65412518993</v>
      </c>
      <c r="P255" s="459">
        <f>Taulukko8[[#This Row],[Palvelut yhteensä, €]]/Taulukko8[[#This Row],[Työttömät 2022]]</f>
        <v>1135.3935261310166</v>
      </c>
      <c r="Q255" s="473">
        <v>154850.72930943136</v>
      </c>
      <c r="R255" s="459">
        <f>Taulukko8[[#This Row],[Toimintamenot, arvio]]/Taulukko8[[#This Row],[Työttömät 2022]]</f>
        <v>874.8628774544145</v>
      </c>
      <c r="S255" s="473">
        <f>Taulukko8[[#This Row],[Palvelut yhteensä, €]]+Taulukko8[[#This Row],[Toimintamenot, arvio]]</f>
        <v>355815.38343462127</v>
      </c>
      <c r="T255" s="481">
        <f>(Taulukko8[[#This Row],[Palvelut + toimintamenot]]/$S$6)*$T$1</f>
        <v>373904.27202216565</v>
      </c>
      <c r="U255" s="483">
        <f>Taulukko8[[#This Row],[Palvelut + toimintamenot, skaalattu siirtyvän rahoituksen tasoon]]*0.5</f>
        <v>186952.13601108282</v>
      </c>
    </row>
    <row r="256" spans="1:21">
      <c r="A256" s="465">
        <v>831</v>
      </c>
      <c r="B256" s="456" t="s">
        <v>261</v>
      </c>
      <c r="C256" s="459">
        <v>4559</v>
      </c>
      <c r="D256" s="459">
        <v>2078</v>
      </c>
      <c r="E256" s="459">
        <v>172</v>
      </c>
      <c r="F256" s="459">
        <v>56897</v>
      </c>
      <c r="G256" s="459">
        <v>22812.380824655273</v>
      </c>
      <c r="H256" s="459">
        <v>13687.428494793163</v>
      </c>
      <c r="I256" s="459">
        <v>29498.117098747669</v>
      </c>
      <c r="J256" s="459">
        <v>44371.70301886792</v>
      </c>
      <c r="K256" s="459">
        <v>1713.7413775621062</v>
      </c>
      <c r="L256" s="459">
        <v>118084.28</v>
      </c>
      <c r="M256" s="459">
        <v>37950.619999999995</v>
      </c>
      <c r="N256" s="459">
        <v>29892.76</v>
      </c>
      <c r="O256" s="473">
        <f>SUM(Taulukko8[[#This Row],[Muiden kuin pakolaisten osuus kotoutumiskoulutuksista,  €]:[Palkkatuki, yksityinen, €]])</f>
        <v>275198.64998997084</v>
      </c>
      <c r="P256" s="459">
        <f>Taulukko8[[#This Row],[Palvelut yhteensä, €]]/Taulukko8[[#This Row],[Työttömät 2022]]</f>
        <v>1599.9921511044815</v>
      </c>
      <c r="Q256" s="473">
        <v>181643.71738441981</v>
      </c>
      <c r="R256" s="459">
        <f>Taulukko8[[#This Row],[Toimintamenot, arvio]]/Taulukko8[[#This Row],[Työttömät 2022]]</f>
        <v>1056.0681243280221</v>
      </c>
      <c r="S256" s="473">
        <f>Taulukko8[[#This Row],[Palvelut yhteensä, €]]+Taulukko8[[#This Row],[Toimintamenot, arvio]]</f>
        <v>456842.36737439065</v>
      </c>
      <c r="T256" s="481">
        <f>(Taulukko8[[#This Row],[Palvelut + toimintamenot]]/$S$6)*$T$1</f>
        <v>480067.25047454418</v>
      </c>
      <c r="U256" s="483">
        <f>Taulukko8[[#This Row],[Palvelut + toimintamenot, skaalattu siirtyvän rahoituksen tasoon]]*0.5</f>
        <v>240033.62523727209</v>
      </c>
    </row>
    <row r="257" spans="1:21">
      <c r="A257" s="465">
        <v>832</v>
      </c>
      <c r="B257" s="456" t="s">
        <v>262</v>
      </c>
      <c r="C257" s="459">
        <v>3825</v>
      </c>
      <c r="D257" s="459">
        <v>1586</v>
      </c>
      <c r="E257" s="459">
        <v>180</v>
      </c>
      <c r="F257" s="459">
        <v>57595</v>
      </c>
      <c r="G257" s="459">
        <v>4346.4404008336569</v>
      </c>
      <c r="H257" s="459">
        <v>2607.8642405001942</v>
      </c>
      <c r="I257" s="459">
        <v>11967.10453179527</v>
      </c>
      <c r="J257" s="459">
        <v>1611.1766473988439</v>
      </c>
      <c r="K257" s="459">
        <v>2085.2891763322468</v>
      </c>
      <c r="L257" s="459">
        <v>162681.20000000001</v>
      </c>
      <c r="M257" s="459">
        <v>23786.880000000001</v>
      </c>
      <c r="N257" s="459">
        <v>192676.56</v>
      </c>
      <c r="O257" s="473">
        <f>SUM(Taulukko8[[#This Row],[Muiden kuin pakolaisten osuus kotoutumiskoulutuksista,  €]:[Palkkatuki, yksityinen, €]])</f>
        <v>397416.07459602656</v>
      </c>
      <c r="P257" s="459">
        <f>Taulukko8[[#This Row],[Palvelut yhteensä, €]]/Taulukko8[[#This Row],[Työttömät 2022]]</f>
        <v>2207.8670810890367</v>
      </c>
      <c r="Q257" s="473">
        <v>163258.11848243058</v>
      </c>
      <c r="R257" s="459">
        <f>Taulukko8[[#This Row],[Toimintamenot, arvio]]/Taulukko8[[#This Row],[Työttömät 2022]]</f>
        <v>906.98954712461432</v>
      </c>
      <c r="S257" s="473">
        <f>Taulukko8[[#This Row],[Palvelut yhteensä, €]]+Taulukko8[[#This Row],[Toimintamenot, arvio]]</f>
        <v>560674.19307845715</v>
      </c>
      <c r="T257" s="481">
        <f>(Taulukko8[[#This Row],[Palvelut + toimintamenot]]/$S$6)*$T$1</f>
        <v>589177.6628121403</v>
      </c>
      <c r="U257" s="483">
        <f>Taulukko8[[#This Row],[Palvelut + toimintamenot, skaalattu siirtyvän rahoituksen tasoon]]*0.5</f>
        <v>294588.83140607015</v>
      </c>
    </row>
    <row r="258" spans="1:21">
      <c r="A258" s="465">
        <v>833</v>
      </c>
      <c r="B258" s="456" t="s">
        <v>263</v>
      </c>
      <c r="C258" s="459">
        <v>1691</v>
      </c>
      <c r="D258" s="459">
        <v>694</v>
      </c>
      <c r="E258" s="459">
        <v>56</v>
      </c>
      <c r="F258" s="459">
        <v>16198</v>
      </c>
      <c r="G258" s="459">
        <v>0</v>
      </c>
      <c r="H258" s="459">
        <v>0</v>
      </c>
      <c r="I258" s="459">
        <v>0</v>
      </c>
      <c r="J258" s="459">
        <v>1897.0382885572137</v>
      </c>
      <c r="K258" s="459">
        <v>526.64496124031018</v>
      </c>
      <c r="L258" s="459">
        <v>25428.350000000002</v>
      </c>
      <c r="M258" s="459">
        <v>18647.48</v>
      </c>
      <c r="N258" s="459">
        <v>39119.880000000005</v>
      </c>
      <c r="O258" s="473">
        <f>SUM(Taulukko8[[#This Row],[Muiden kuin pakolaisten osuus kotoutumiskoulutuksista,  €]:[Palkkatuki, yksityinen, €]])</f>
        <v>85619.393249797533</v>
      </c>
      <c r="P258" s="459">
        <f>Taulukko8[[#This Row],[Palvelut yhteensä, €]]/Taulukko8[[#This Row],[Työttömät 2022]]</f>
        <v>1528.9177366035274</v>
      </c>
      <c r="Q258" s="473">
        <v>45464.956622299105</v>
      </c>
      <c r="R258" s="459">
        <f>Taulukko8[[#This Row],[Toimintamenot, arvio]]/Taulukko8[[#This Row],[Työttömät 2022]]</f>
        <v>811.87422539819829</v>
      </c>
      <c r="S258" s="473">
        <f>Taulukko8[[#This Row],[Palvelut yhteensä, €]]+Taulukko8[[#This Row],[Toimintamenot, arvio]]</f>
        <v>131084.34987209665</v>
      </c>
      <c r="T258" s="481">
        <f>(Taulukko8[[#This Row],[Palvelut + toimintamenot]]/$S$6)*$T$1</f>
        <v>137748.39620286113</v>
      </c>
      <c r="U258" s="483">
        <f>Taulukko8[[#This Row],[Palvelut + toimintamenot, skaalattu siirtyvän rahoituksen tasoon]]*0.5</f>
        <v>68874.198101430564</v>
      </c>
    </row>
    <row r="259" spans="1:21">
      <c r="A259" s="465">
        <v>834</v>
      </c>
      <c r="B259" s="456" t="s">
        <v>264</v>
      </c>
      <c r="C259" s="459">
        <v>5879</v>
      </c>
      <c r="D259" s="459">
        <v>2725</v>
      </c>
      <c r="E259" s="459">
        <v>181</v>
      </c>
      <c r="F259" s="459">
        <v>49408</v>
      </c>
      <c r="G259" s="459">
        <v>18735.721069693383</v>
      </c>
      <c r="H259" s="459">
        <v>11241.432641816029</v>
      </c>
      <c r="I259" s="459">
        <v>9085.7582656269151</v>
      </c>
      <c r="J259" s="459">
        <v>21316.047485207102</v>
      </c>
      <c r="K259" s="459">
        <v>2461.9505379955945</v>
      </c>
      <c r="L259" s="459">
        <v>49055.49</v>
      </c>
      <c r="M259" s="459">
        <v>39368.200000000004</v>
      </c>
      <c r="N259" s="459">
        <v>124448.56</v>
      </c>
      <c r="O259" s="473">
        <f>SUM(Taulukko8[[#This Row],[Muiden kuin pakolaisten osuus kotoutumiskoulutuksista,  €]:[Palkkatuki, yksityinen, €]])</f>
        <v>256977.43893064564</v>
      </c>
      <c r="P259" s="459">
        <f>Taulukko8[[#This Row],[Palvelut yhteensä, €]]/Taulukko8[[#This Row],[Työttömät 2022]]</f>
        <v>1419.764855970418</v>
      </c>
      <c r="Q259" s="473">
        <v>145190.03881551241</v>
      </c>
      <c r="R259" s="459">
        <f>Taulukko8[[#This Row],[Toimintamenot, arvio]]/Taulukko8[[#This Row],[Työttömät 2022]]</f>
        <v>802.15491058294151</v>
      </c>
      <c r="S259" s="473">
        <f>Taulukko8[[#This Row],[Palvelut yhteensä, €]]+Taulukko8[[#This Row],[Toimintamenot, arvio]]</f>
        <v>402167.47774615802</v>
      </c>
      <c r="T259" s="481">
        <f>(Taulukko8[[#This Row],[Palvelut + toimintamenot]]/$S$6)*$T$1</f>
        <v>422612.80708594661</v>
      </c>
      <c r="U259" s="483">
        <f>Taulukko8[[#This Row],[Palvelut + toimintamenot, skaalattu siirtyvän rahoituksen tasoon]]*0.5</f>
        <v>211306.4035429733</v>
      </c>
    </row>
    <row r="260" spans="1:21">
      <c r="A260" s="465">
        <v>837</v>
      </c>
      <c r="B260" s="456" t="s">
        <v>265</v>
      </c>
      <c r="C260" s="459">
        <v>249009</v>
      </c>
      <c r="D260" s="459">
        <v>123983</v>
      </c>
      <c r="E260" s="459">
        <v>12325</v>
      </c>
      <c r="F260" s="459">
        <v>4430722</v>
      </c>
      <c r="G260" s="459">
        <v>2461758.2901838059</v>
      </c>
      <c r="H260" s="459">
        <v>1477054.9741102834</v>
      </c>
      <c r="I260" s="459">
        <v>3584242.605208687</v>
      </c>
      <c r="J260" s="459">
        <v>1548440.7130188679</v>
      </c>
      <c r="K260" s="459">
        <v>108168.43053861312</v>
      </c>
      <c r="L260" s="459">
        <v>2576075.46</v>
      </c>
      <c r="M260" s="459">
        <v>2726731.42</v>
      </c>
      <c r="N260" s="459">
        <v>10198649.75</v>
      </c>
      <c r="O260" s="473">
        <f>SUM(Taulukko8[[#This Row],[Muiden kuin pakolaisten osuus kotoutumiskoulutuksista,  €]:[Palkkatuki, yksityinen, €]])</f>
        <v>22219363.352876455</v>
      </c>
      <c r="P260" s="459">
        <f>Taulukko8[[#This Row],[Palvelut yhteensä, €]]/Taulukko8[[#This Row],[Työttömät 2022]]</f>
        <v>1802.7881016532619</v>
      </c>
      <c r="Q260" s="473">
        <v>12150011.729741476</v>
      </c>
      <c r="R260" s="459">
        <f>Taulukko8[[#This Row],[Toimintamenot, arvio]]/Taulukko8[[#This Row],[Työttömät 2022]]</f>
        <v>985.80216874170196</v>
      </c>
      <c r="S260" s="473">
        <f>Taulukko8[[#This Row],[Palvelut yhteensä, €]]+Taulukko8[[#This Row],[Toimintamenot, arvio]]</f>
        <v>34369375.082617931</v>
      </c>
      <c r="T260" s="481">
        <f>(Taulukko8[[#This Row],[Palvelut + toimintamenot]]/$S$6)*$T$1</f>
        <v>36116640.169056319</v>
      </c>
      <c r="U260" s="483">
        <f>Taulukko8[[#This Row],[Palvelut + toimintamenot, skaalattu siirtyvän rahoituksen tasoon]]*0.5</f>
        <v>18058320.084528159</v>
      </c>
    </row>
    <row r="261" spans="1:21">
      <c r="A261" s="465">
        <v>844</v>
      </c>
      <c r="B261" s="456" t="s">
        <v>266</v>
      </c>
      <c r="C261" s="459">
        <v>1441</v>
      </c>
      <c r="D261" s="459">
        <v>586</v>
      </c>
      <c r="E261" s="459">
        <v>61</v>
      </c>
      <c r="F261" s="459">
        <v>16303</v>
      </c>
      <c r="G261" s="459">
        <v>4482.9333392091585</v>
      </c>
      <c r="H261" s="459">
        <v>2689.760003525495</v>
      </c>
      <c r="I261" s="459">
        <v>19446.350561685274</v>
      </c>
      <c r="J261" s="459">
        <v>29945.585608465612</v>
      </c>
      <c r="K261" s="459">
        <v>714.12143590701146</v>
      </c>
      <c r="L261" s="459">
        <v>1735.24</v>
      </c>
      <c r="M261" s="459">
        <v>5522.1</v>
      </c>
      <c r="N261" s="459">
        <v>22419.84</v>
      </c>
      <c r="O261" s="473">
        <f>SUM(Taulukko8[[#This Row],[Muiden kuin pakolaisten osuus kotoutumiskoulutuksista,  €]:[Palkkatuki, yksityinen, €]])</f>
        <v>82472.997609583384</v>
      </c>
      <c r="P261" s="459">
        <f>Taulukko8[[#This Row],[Palvelut yhteensä, €]]/Taulukko8[[#This Row],[Työttömät 2022]]</f>
        <v>1352.0163542554653</v>
      </c>
      <c r="Q261" s="473">
        <v>50470.047701968579</v>
      </c>
      <c r="R261" s="459">
        <f>Taulukko8[[#This Row],[Toimintamenot, arvio]]/Taulukko8[[#This Row],[Työttömät 2022]]</f>
        <v>827.3778311798128</v>
      </c>
      <c r="S261" s="473">
        <f>Taulukko8[[#This Row],[Palvelut yhteensä, €]]+Taulukko8[[#This Row],[Toimintamenot, arvio]]</f>
        <v>132943.04531155195</v>
      </c>
      <c r="T261" s="481">
        <f>(Taulukko8[[#This Row],[Palvelut + toimintamenot]]/$S$6)*$T$1</f>
        <v>139701.58371963457</v>
      </c>
      <c r="U261" s="483">
        <f>Taulukko8[[#This Row],[Palvelut + toimintamenot, skaalattu siirtyvän rahoituksen tasoon]]*0.5</f>
        <v>69850.791859817284</v>
      </c>
    </row>
    <row r="262" spans="1:21">
      <c r="A262" s="465">
        <v>845</v>
      </c>
      <c r="B262" s="456" t="s">
        <v>267</v>
      </c>
      <c r="C262" s="459">
        <v>2863</v>
      </c>
      <c r="D262" s="459">
        <v>1232</v>
      </c>
      <c r="E262" s="459">
        <v>123</v>
      </c>
      <c r="F262" s="459">
        <v>36370</v>
      </c>
      <c r="G262" s="459">
        <v>20809.796389802366</v>
      </c>
      <c r="H262" s="459">
        <v>12485.877833881419</v>
      </c>
      <c r="I262" s="459">
        <v>42324.688547520593</v>
      </c>
      <c r="J262" s="459">
        <v>26911.231298969073</v>
      </c>
      <c r="K262" s="459">
        <v>6235.8020487804888</v>
      </c>
      <c r="L262" s="459">
        <v>138595.96000000002</v>
      </c>
      <c r="M262" s="459">
        <v>41281.94</v>
      </c>
      <c r="N262" s="459">
        <v>58755.05</v>
      </c>
      <c r="O262" s="473">
        <f>SUM(Taulukko8[[#This Row],[Muiden kuin pakolaisten osuus kotoutumiskoulutuksista,  €]:[Palkkatuki, yksityinen, €]])</f>
        <v>326590.54972915159</v>
      </c>
      <c r="P262" s="459">
        <f>Taulukko8[[#This Row],[Palvelut yhteensä, €]]/Taulukko8[[#This Row],[Työttömät 2022]]</f>
        <v>2655.2077213752164</v>
      </c>
      <c r="Q262" s="473">
        <v>129881.23933005724</v>
      </c>
      <c r="R262" s="459">
        <f>Taulukko8[[#This Row],[Toimintamenot, arvio]]/Taulukko8[[#This Row],[Työttömät 2022]]</f>
        <v>1055.9450352037175</v>
      </c>
      <c r="S262" s="473">
        <f>Taulukko8[[#This Row],[Palvelut yhteensä, €]]+Taulukko8[[#This Row],[Toimintamenot, arvio]]</f>
        <v>456471.78905920882</v>
      </c>
      <c r="T262" s="481">
        <f>(Taulukko8[[#This Row],[Palvelut + toimintamenot]]/$S$6)*$T$1</f>
        <v>479677.83275508595</v>
      </c>
      <c r="U262" s="483">
        <f>Taulukko8[[#This Row],[Palvelut + toimintamenot, skaalattu siirtyvän rahoituksen tasoon]]*0.5</f>
        <v>239838.91637754298</v>
      </c>
    </row>
    <row r="263" spans="1:21">
      <c r="A263" s="465">
        <v>846</v>
      </c>
      <c r="B263" s="456" t="s">
        <v>268</v>
      </c>
      <c r="C263" s="459">
        <v>4862</v>
      </c>
      <c r="D263" s="459">
        <v>1960</v>
      </c>
      <c r="E263" s="459">
        <v>151</v>
      </c>
      <c r="F263" s="459">
        <v>47364</v>
      </c>
      <c r="G263" s="459">
        <v>14920.461156185482</v>
      </c>
      <c r="H263" s="459">
        <v>8952.2766937112883</v>
      </c>
      <c r="I263" s="459">
        <v>24313.527845544333</v>
      </c>
      <c r="J263" s="459">
        <v>11733.504501992031</v>
      </c>
      <c r="K263" s="459">
        <v>2002.3455385170482</v>
      </c>
      <c r="L263" s="459">
        <v>25660.36</v>
      </c>
      <c r="M263" s="459">
        <v>29044.78</v>
      </c>
      <c r="N263" s="459">
        <v>71743.540000000008</v>
      </c>
      <c r="O263" s="473">
        <f>SUM(Taulukko8[[#This Row],[Muiden kuin pakolaisten osuus kotoutumiskoulutuksista,  €]:[Palkkatuki, yksityinen, €]])</f>
        <v>173450.33457976469</v>
      </c>
      <c r="P263" s="459">
        <f>Taulukko8[[#This Row],[Palvelut yhteensä, €]]/Taulukko8[[#This Row],[Työttömät 2022]]</f>
        <v>1148.6777124487728</v>
      </c>
      <c r="Q263" s="473">
        <v>167384.47584687805</v>
      </c>
      <c r="R263" s="459">
        <f>Taulukko8[[#This Row],[Toimintamenot, arvio]]/Taulukko8[[#This Row],[Työttömät 2022]]</f>
        <v>1108.5064625621062</v>
      </c>
      <c r="S263" s="473">
        <f>Taulukko8[[#This Row],[Palvelut yhteensä, €]]+Taulukko8[[#This Row],[Toimintamenot, arvio]]</f>
        <v>340834.81042664277</v>
      </c>
      <c r="T263" s="481">
        <f>(Taulukko8[[#This Row],[Palvelut + toimintamenot]]/$S$6)*$T$1</f>
        <v>358162.1189118792</v>
      </c>
      <c r="U263" s="483">
        <f>Taulukko8[[#This Row],[Palvelut + toimintamenot, skaalattu siirtyvän rahoituksen tasoon]]*0.5</f>
        <v>179081.0594559396</v>
      </c>
    </row>
    <row r="264" spans="1:21">
      <c r="A264" s="465">
        <v>848</v>
      </c>
      <c r="B264" s="456" t="s">
        <v>269</v>
      </c>
      <c r="C264" s="459">
        <v>4160</v>
      </c>
      <c r="D264" s="459">
        <v>1738</v>
      </c>
      <c r="E264" s="459">
        <v>259</v>
      </c>
      <c r="F264" s="459">
        <v>91654</v>
      </c>
      <c r="G264" s="459">
        <v>23530.240293401286</v>
      </c>
      <c r="H264" s="459">
        <v>14118.144176040771</v>
      </c>
      <c r="I264" s="459">
        <v>42954.19210889197</v>
      </c>
      <c r="J264" s="459">
        <v>6263.4461855670106</v>
      </c>
      <c r="K264" s="459">
        <v>2128.0244107299909</v>
      </c>
      <c r="L264" s="459">
        <v>153247.94</v>
      </c>
      <c r="M264" s="459">
        <v>19335</v>
      </c>
      <c r="N264" s="459">
        <v>617755.78</v>
      </c>
      <c r="O264" s="473">
        <f>SUM(Taulukko8[[#This Row],[Muiden kuin pakolaisten osuus kotoutumiskoulutuksista,  €]:[Palkkatuki, yksityinen, €]])</f>
        <v>855802.52688122983</v>
      </c>
      <c r="P264" s="459">
        <f>Taulukko8[[#This Row],[Palvelut yhteensä, €]]/Taulukko8[[#This Row],[Työttömät 2022]]</f>
        <v>3304.2568605452889</v>
      </c>
      <c r="Q264" s="473">
        <v>242528.67006577511</v>
      </c>
      <c r="R264" s="459">
        <f>Taulukko8[[#This Row],[Toimintamenot, arvio]]/Taulukko8[[#This Row],[Työttömät 2022]]</f>
        <v>936.40413152808924</v>
      </c>
      <c r="S264" s="473">
        <f>Taulukko8[[#This Row],[Palvelut yhteensä, €]]+Taulukko8[[#This Row],[Toimintamenot, arvio]]</f>
        <v>1098331.1969470049</v>
      </c>
      <c r="T264" s="481">
        <f>(Taulukko8[[#This Row],[Palvelut + toimintamenot]]/$S$6)*$T$1</f>
        <v>1154167.9920344471</v>
      </c>
      <c r="U264" s="483">
        <f>Taulukko8[[#This Row],[Palvelut + toimintamenot, skaalattu siirtyvän rahoituksen tasoon]]*0.5</f>
        <v>577083.99601722357</v>
      </c>
    </row>
    <row r="265" spans="1:21">
      <c r="A265" s="465">
        <v>849</v>
      </c>
      <c r="B265" s="456" t="s">
        <v>270</v>
      </c>
      <c r="C265" s="459">
        <v>2903</v>
      </c>
      <c r="D265" s="459">
        <v>1151</v>
      </c>
      <c r="E265" s="459">
        <v>73</v>
      </c>
      <c r="F265" s="459">
        <v>27823</v>
      </c>
      <c r="G265" s="459">
        <v>5774.4233972880738</v>
      </c>
      <c r="H265" s="459">
        <v>3464.6540383728443</v>
      </c>
      <c r="I265" s="459">
        <v>15417.378214186883</v>
      </c>
      <c r="J265" s="459">
        <v>5636.4468783068778</v>
      </c>
      <c r="K265" s="459">
        <v>3175.4797643047732</v>
      </c>
      <c r="L265" s="459">
        <v>25063.379999999997</v>
      </c>
      <c r="M265" s="459">
        <v>17167.599999999999</v>
      </c>
      <c r="N265" s="459">
        <v>69294.45</v>
      </c>
      <c r="O265" s="473">
        <f>SUM(Taulukko8[[#This Row],[Muiden kuin pakolaisten osuus kotoutumiskoulutuksista,  €]:[Palkkatuki, yksityinen, €]])</f>
        <v>139219.38889517137</v>
      </c>
      <c r="P265" s="459">
        <f>Taulukko8[[#This Row],[Palvelut yhteensä, €]]/Taulukko8[[#This Row],[Työttömät 2022]]</f>
        <v>1907.1149163722107</v>
      </c>
      <c r="Q265" s="473">
        <v>89196.729014008975</v>
      </c>
      <c r="R265" s="459">
        <f>Taulukko8[[#This Row],[Toimintamenot, arvio]]/Taulukko8[[#This Row],[Työttömät 2022]]</f>
        <v>1221.8730001919039</v>
      </c>
      <c r="S265" s="473">
        <f>Taulukko8[[#This Row],[Palvelut yhteensä, €]]+Taulukko8[[#This Row],[Toimintamenot, arvio]]</f>
        <v>228416.11790918035</v>
      </c>
      <c r="T265" s="481">
        <f>(Taulukko8[[#This Row],[Palvelut + toimintamenot]]/$S$6)*$T$1</f>
        <v>240028.30192600141</v>
      </c>
      <c r="U265" s="483">
        <f>Taulukko8[[#This Row],[Palvelut + toimintamenot, skaalattu siirtyvän rahoituksen tasoon]]*0.5</f>
        <v>120014.15096300071</v>
      </c>
    </row>
    <row r="266" spans="1:21">
      <c r="A266" s="465">
        <v>850</v>
      </c>
      <c r="B266" s="456" t="s">
        <v>271</v>
      </c>
      <c r="C266" s="459">
        <v>2407</v>
      </c>
      <c r="D266" s="459">
        <v>1000</v>
      </c>
      <c r="E266" s="459">
        <v>82</v>
      </c>
      <c r="F266" s="459">
        <v>26980</v>
      </c>
      <c r="G266" s="459">
        <v>4992.4143131110122</v>
      </c>
      <c r="H266" s="459">
        <v>2995.4485878666073</v>
      </c>
      <c r="I266" s="459">
        <v>17304.421285553701</v>
      </c>
      <c r="J266" s="459">
        <v>3332.4806607929518</v>
      </c>
      <c r="K266" s="459">
        <v>991.23148075850531</v>
      </c>
      <c r="L266" s="459">
        <v>19685.059999999998</v>
      </c>
      <c r="M266" s="459">
        <v>18801.66</v>
      </c>
      <c r="N266" s="459">
        <v>47911.29</v>
      </c>
      <c r="O266" s="473">
        <f>SUM(Taulukko8[[#This Row],[Muiden kuin pakolaisten osuus kotoutumiskoulutuksista,  €]:[Palkkatuki, yksityinen, €]])</f>
        <v>111021.59201497177</v>
      </c>
      <c r="P266" s="459">
        <f>Taulukko8[[#This Row],[Palvelut yhteensä, €]]/Taulukko8[[#This Row],[Työttömät 2022]]</f>
        <v>1353.9218538411192</v>
      </c>
      <c r="Q266" s="473">
        <v>77877.91882866637</v>
      </c>
      <c r="R266" s="459">
        <f>Taulukko8[[#This Row],[Toimintamenot, arvio]]/Taulukko8[[#This Row],[Työttömät 2022]]</f>
        <v>949.73071742276056</v>
      </c>
      <c r="S266" s="473">
        <f>Taulukko8[[#This Row],[Palvelut yhteensä, €]]+Taulukko8[[#This Row],[Toimintamenot, arvio]]</f>
        <v>188899.51084363816</v>
      </c>
      <c r="T266" s="481">
        <f>(Taulukko8[[#This Row],[Palvelut + toimintamenot]]/$S$6)*$T$1</f>
        <v>198502.755573837</v>
      </c>
      <c r="U266" s="483">
        <f>Taulukko8[[#This Row],[Palvelut + toimintamenot, skaalattu siirtyvän rahoituksen tasoon]]*0.5</f>
        <v>99251.3777869185</v>
      </c>
    </row>
    <row r="267" spans="1:21">
      <c r="A267" s="465">
        <v>851</v>
      </c>
      <c r="B267" s="456" t="s">
        <v>272</v>
      </c>
      <c r="C267" s="459">
        <v>21227</v>
      </c>
      <c r="D267" s="459">
        <v>9569</v>
      </c>
      <c r="E267" s="459">
        <v>842</v>
      </c>
      <c r="F267" s="459">
        <v>271073</v>
      </c>
      <c r="G267" s="459">
        <v>253270.44874418</v>
      </c>
      <c r="H267" s="459">
        <v>151962.26924650799</v>
      </c>
      <c r="I267" s="459">
        <v>515122.4289076287</v>
      </c>
      <c r="J267" s="459">
        <v>246686.28690721653</v>
      </c>
      <c r="K267" s="459">
        <v>42687.360366448542</v>
      </c>
      <c r="L267" s="459">
        <v>369415.15</v>
      </c>
      <c r="M267" s="459">
        <v>154124.44</v>
      </c>
      <c r="N267" s="459">
        <v>604435.66</v>
      </c>
      <c r="O267" s="473">
        <f>SUM(Taulukko8[[#This Row],[Muiden kuin pakolaisten osuus kotoutumiskoulutuksista,  €]:[Palkkatuki, yksityinen, €]])</f>
        <v>2084433.5954278018</v>
      </c>
      <c r="P267" s="459">
        <f>Taulukko8[[#This Row],[Palvelut yhteensä, €]]/Taulukko8[[#This Row],[Työttömät 2022]]</f>
        <v>2475.5743413631849</v>
      </c>
      <c r="Q267" s="473">
        <v>968031.26722344267</v>
      </c>
      <c r="R267" s="459">
        <f>Taulukko8[[#This Row],[Toimintamenot, arvio]]/Taulukko8[[#This Row],[Työttömät 2022]]</f>
        <v>1149.6808399328297</v>
      </c>
      <c r="S267" s="473">
        <f>Taulukko8[[#This Row],[Palvelut yhteensä, €]]+Taulukko8[[#This Row],[Toimintamenot, arvio]]</f>
        <v>3052464.8626512447</v>
      </c>
      <c r="T267" s="481">
        <f>(Taulukko8[[#This Row],[Palvelut + toimintamenot]]/$S$6)*$T$1</f>
        <v>3207645.6091521559</v>
      </c>
      <c r="U267" s="483">
        <f>Taulukko8[[#This Row],[Palvelut + toimintamenot, skaalattu siirtyvän rahoituksen tasoon]]*0.5</f>
        <v>1603822.804576078</v>
      </c>
    </row>
    <row r="268" spans="1:21">
      <c r="A268" s="465">
        <v>853</v>
      </c>
      <c r="B268" s="456" t="s">
        <v>273</v>
      </c>
      <c r="C268" s="459">
        <v>197900</v>
      </c>
      <c r="D268" s="459">
        <v>97378</v>
      </c>
      <c r="E268" s="459">
        <v>11825</v>
      </c>
      <c r="F268" s="459">
        <v>3470478</v>
      </c>
      <c r="G268" s="459">
        <v>2477474.9917665441</v>
      </c>
      <c r="H268" s="459">
        <v>1486484.9950599263</v>
      </c>
      <c r="I268" s="459">
        <v>1585002.2494246014</v>
      </c>
      <c r="J268" s="459">
        <v>1187545.9686368159</v>
      </c>
      <c r="K268" s="459">
        <v>111206.7261904762</v>
      </c>
      <c r="L268" s="459">
        <v>3129249.01</v>
      </c>
      <c r="M268" s="459">
        <v>1573838.06</v>
      </c>
      <c r="N268" s="459">
        <v>8762731</v>
      </c>
      <c r="O268" s="473">
        <f>SUM(Taulukko8[[#This Row],[Muiden kuin pakolaisten osuus kotoutumiskoulutuksista,  €]:[Palkkatuki, yksityinen, €]])</f>
        <v>17836058.009311818</v>
      </c>
      <c r="P268" s="459">
        <f>Taulukko8[[#This Row],[Palvelut yhteensä, €]]/Taulukko8[[#This Row],[Työttömät 2022]]</f>
        <v>1508.3347153752065</v>
      </c>
      <c r="Q268" s="473">
        <v>9741025.5419584736</v>
      </c>
      <c r="R268" s="459">
        <f>Taulukko8[[#This Row],[Toimintamenot, arvio]]/Taulukko8[[#This Row],[Työttömät 2022]]</f>
        <v>823.76537352714365</v>
      </c>
      <c r="S268" s="473">
        <f>Taulukko8[[#This Row],[Palvelut yhteensä, €]]+Taulukko8[[#This Row],[Toimintamenot, arvio]]</f>
        <v>27577083.551270291</v>
      </c>
      <c r="T268" s="481">
        <f>(Taulukko8[[#This Row],[Palvelut + toimintamenot]]/$S$6)*$T$1</f>
        <v>28979043.149287473</v>
      </c>
      <c r="U268" s="483">
        <f>Taulukko8[[#This Row],[Palvelut + toimintamenot, skaalattu siirtyvän rahoituksen tasoon]]*0.5</f>
        <v>14489521.574643737</v>
      </c>
    </row>
    <row r="269" spans="1:21">
      <c r="A269" s="465">
        <v>854</v>
      </c>
      <c r="B269" s="456" t="s">
        <v>274</v>
      </c>
      <c r="C269" s="459">
        <v>3262</v>
      </c>
      <c r="D269" s="459">
        <v>1234</v>
      </c>
      <c r="E269" s="459">
        <v>137</v>
      </c>
      <c r="F269" s="459">
        <v>37798</v>
      </c>
      <c r="G269" s="459">
        <v>1466.2729163546383</v>
      </c>
      <c r="H269" s="459">
        <v>879.76374981278298</v>
      </c>
      <c r="I269" s="459">
        <v>2982.2273773320744</v>
      </c>
      <c r="J269" s="459">
        <v>26911.231298969073</v>
      </c>
      <c r="K269" s="459">
        <v>6945.5681356335517</v>
      </c>
      <c r="L269" s="459">
        <v>215722.84</v>
      </c>
      <c r="M269" s="459">
        <v>40608.92</v>
      </c>
      <c r="N269" s="459">
        <v>54084.310000000005</v>
      </c>
      <c r="O269" s="473">
        <f>SUM(Taulukko8[[#This Row],[Muiden kuin pakolaisten osuus kotoutumiskoulutuksista,  €]:[Palkkatuki, yksityinen, €]])</f>
        <v>348134.86056174745</v>
      </c>
      <c r="P269" s="459">
        <f>Taulukko8[[#This Row],[Palvelut yhteensä, €]]/Taulukko8[[#This Row],[Työttömät 2022]]</f>
        <v>2541.1303690638501</v>
      </c>
      <c r="Q269" s="473">
        <v>134980.78317837516</v>
      </c>
      <c r="R269" s="459">
        <f>Taulukko8[[#This Row],[Toimintamenot, arvio]]/Taulukko8[[#This Row],[Työttömät 2022]]</f>
        <v>985.26119108303033</v>
      </c>
      <c r="S269" s="473">
        <f>Taulukko8[[#This Row],[Palvelut yhteensä, €]]+Taulukko8[[#This Row],[Toimintamenot, arvio]]</f>
        <v>483115.64374012261</v>
      </c>
      <c r="T269" s="481">
        <f>(Taulukko8[[#This Row],[Palvelut + toimintamenot]]/$S$6)*$T$1</f>
        <v>507676.20368600986</v>
      </c>
      <c r="U269" s="483">
        <f>Taulukko8[[#This Row],[Palvelut + toimintamenot, skaalattu siirtyvän rahoituksen tasoon]]*0.5</f>
        <v>253838.10184300493</v>
      </c>
    </row>
    <row r="270" spans="1:21">
      <c r="A270" s="465">
        <v>857</v>
      </c>
      <c r="B270" s="456" t="s">
        <v>275</v>
      </c>
      <c r="C270" s="459">
        <v>2394</v>
      </c>
      <c r="D270" s="459">
        <v>885</v>
      </c>
      <c r="E270" s="459">
        <v>105</v>
      </c>
      <c r="F270" s="459">
        <v>30261</v>
      </c>
      <c r="G270" s="459">
        <v>7086.7928236599864</v>
      </c>
      <c r="H270" s="459">
        <v>4252.0756941959917</v>
      </c>
      <c r="I270" s="459">
        <v>30741.536217274926</v>
      </c>
      <c r="J270" s="459">
        <v>7486.3964021164029</v>
      </c>
      <c r="K270" s="459">
        <v>1229.2254224628887</v>
      </c>
      <c r="L270" s="459">
        <v>63793.380000000005</v>
      </c>
      <c r="M270" s="459">
        <v>16442.66</v>
      </c>
      <c r="N270" s="459">
        <v>19748.16</v>
      </c>
      <c r="O270" s="473">
        <f>SUM(Taulukko8[[#This Row],[Muiden kuin pakolaisten osuus kotoutumiskoulutuksista,  €]:[Palkkatuki, yksityinen, €]])</f>
        <v>143693.43373605021</v>
      </c>
      <c r="P270" s="459">
        <f>Taulukko8[[#This Row],[Palvelut yhteensä, €]]/Taulukko8[[#This Row],[Työttömät 2022]]</f>
        <v>1368.5088927242878</v>
      </c>
      <c r="Q270" s="473">
        <v>93680.556554577153</v>
      </c>
      <c r="R270" s="459">
        <f>Taulukko8[[#This Row],[Toimintamenot, arvio]]/Taulukko8[[#This Row],[Työttömät 2022]]</f>
        <v>892.19577671025866</v>
      </c>
      <c r="S270" s="473">
        <f>Taulukko8[[#This Row],[Palvelut yhteensä, €]]+Taulukko8[[#This Row],[Toimintamenot, arvio]]</f>
        <v>237373.99029062735</v>
      </c>
      <c r="T270" s="481">
        <f>(Taulukko8[[#This Row],[Palvelut + toimintamenot]]/$S$6)*$T$1</f>
        <v>249441.57326722727</v>
      </c>
      <c r="U270" s="483">
        <f>Taulukko8[[#This Row],[Palvelut + toimintamenot, skaalattu siirtyvän rahoituksen tasoon]]*0.5</f>
        <v>124720.78663361364</v>
      </c>
    </row>
    <row r="271" spans="1:21">
      <c r="A271" s="465">
        <v>858</v>
      </c>
      <c r="B271" s="456" t="s">
        <v>276</v>
      </c>
      <c r="C271" s="459">
        <v>40384</v>
      </c>
      <c r="D271" s="459">
        <v>20470</v>
      </c>
      <c r="E271" s="459">
        <v>1307</v>
      </c>
      <c r="F271" s="459">
        <v>364066</v>
      </c>
      <c r="G271" s="459">
        <v>395709.27556721796</v>
      </c>
      <c r="H271" s="459">
        <v>237425.56534033077</v>
      </c>
      <c r="I271" s="459">
        <v>208317.2180461415</v>
      </c>
      <c r="J271" s="459">
        <v>113965.46577481367</v>
      </c>
      <c r="K271" s="459">
        <v>34779.263009116738</v>
      </c>
      <c r="L271" s="459">
        <v>254071.56</v>
      </c>
      <c r="M271" s="459">
        <v>301644.02</v>
      </c>
      <c r="N271" s="459">
        <v>508079.5</v>
      </c>
      <c r="O271" s="473">
        <f>SUM(Taulukko8[[#This Row],[Muiden kuin pakolaisten osuus kotoutumiskoulutuksista,  €]:[Palkkatuki, yksityinen, €]])</f>
        <v>1658282.5921704026</v>
      </c>
      <c r="P271" s="459">
        <f>Taulukko8[[#This Row],[Palvelut yhteensä, €]]/Taulukko8[[#This Row],[Työttömät 2022]]</f>
        <v>1268.7701546827871</v>
      </c>
      <c r="Q271" s="473">
        <v>1087019.1700875617</v>
      </c>
      <c r="R271" s="459">
        <f>Taulukko8[[#This Row],[Toimintamenot, arvio]]/Taulukko8[[#This Row],[Työttömät 2022]]</f>
        <v>831.69026020471438</v>
      </c>
      <c r="S271" s="473">
        <f>Taulukko8[[#This Row],[Palvelut yhteensä, €]]+Taulukko8[[#This Row],[Toimintamenot, arvio]]</f>
        <v>2745301.7622579644</v>
      </c>
      <c r="T271" s="481">
        <f>(Taulukko8[[#This Row],[Palvelut + toimintamenot]]/$S$6)*$T$1</f>
        <v>2884866.9975699396</v>
      </c>
      <c r="U271" s="483">
        <f>Taulukko8[[#This Row],[Palvelut + toimintamenot, skaalattu siirtyvän rahoituksen tasoon]]*0.5</f>
        <v>1442433.4987849698</v>
      </c>
    </row>
    <row r="272" spans="1:21">
      <c r="A272" s="465">
        <v>859</v>
      </c>
      <c r="B272" s="456" t="s">
        <v>277</v>
      </c>
      <c r="C272" s="459">
        <v>6562</v>
      </c>
      <c r="D272" s="459">
        <v>2820</v>
      </c>
      <c r="E272" s="459">
        <v>184</v>
      </c>
      <c r="F272" s="459">
        <v>60283</v>
      </c>
      <c r="G272" s="459">
        <v>25112.766760372237</v>
      </c>
      <c r="H272" s="459">
        <v>15067.660056223342</v>
      </c>
      <c r="I272" s="459">
        <v>69143.270628150436</v>
      </c>
      <c r="J272" s="459">
        <v>3222.3532947976878</v>
      </c>
      <c r="K272" s="459">
        <v>2131.6289358062968</v>
      </c>
      <c r="L272" s="459">
        <v>161450.36000000002</v>
      </c>
      <c r="M272" s="459">
        <v>18444.36</v>
      </c>
      <c r="N272" s="459">
        <v>83837.009999999995</v>
      </c>
      <c r="O272" s="473">
        <f>SUM(Taulukko8[[#This Row],[Muiden kuin pakolaisten osuus kotoutumiskoulutuksista,  €]:[Palkkatuki, yksityinen, €]])</f>
        <v>353296.6429149778</v>
      </c>
      <c r="P272" s="459">
        <f>Taulukko8[[#This Row],[Palvelut yhteensä, €]]/Taulukko8[[#This Row],[Työttömät 2022]]</f>
        <v>1920.0904506248794</v>
      </c>
      <c r="Q272" s="473">
        <v>170877.49208223567</v>
      </c>
      <c r="R272" s="459">
        <f>Taulukko8[[#This Row],[Toimintamenot, arvio]]/Taulukko8[[#This Row],[Työttömät 2022]]</f>
        <v>928.68202218606336</v>
      </c>
      <c r="S272" s="473">
        <f>Taulukko8[[#This Row],[Palvelut yhteensä, €]]+Taulukko8[[#This Row],[Toimintamenot, arvio]]</f>
        <v>524174.13499721349</v>
      </c>
      <c r="T272" s="481">
        <f>(Taulukko8[[#This Row],[Palvelut + toimintamenot]]/$S$6)*$T$1</f>
        <v>550822.02030478965</v>
      </c>
      <c r="U272" s="483">
        <f>Taulukko8[[#This Row],[Palvelut + toimintamenot, skaalattu siirtyvän rahoituksen tasoon]]*0.5</f>
        <v>275411.01015239483</v>
      </c>
    </row>
    <row r="273" spans="1:21">
      <c r="A273" s="465">
        <v>886</v>
      </c>
      <c r="B273" s="456" t="s">
        <v>278</v>
      </c>
      <c r="C273" s="459">
        <v>12599</v>
      </c>
      <c r="D273" s="459">
        <v>5685</v>
      </c>
      <c r="E273" s="459">
        <v>423</v>
      </c>
      <c r="F273" s="459">
        <v>137835</v>
      </c>
      <c r="G273" s="459">
        <v>64833.510386026195</v>
      </c>
      <c r="H273" s="459">
        <v>38900.106231615719</v>
      </c>
      <c r="I273" s="459">
        <v>155555.2675633188</v>
      </c>
      <c r="J273" s="459">
        <v>17997.380372670807</v>
      </c>
      <c r="K273" s="459">
        <v>11788.922502872903</v>
      </c>
      <c r="L273" s="459">
        <v>106356.29000000001</v>
      </c>
      <c r="M273" s="459">
        <v>82077.48000000001</v>
      </c>
      <c r="N273" s="459">
        <v>105449.22</v>
      </c>
      <c r="O273" s="473">
        <f>SUM(Taulukko8[[#This Row],[Muiden kuin pakolaisten osuus kotoutumiskoulutuksista,  €]:[Palkkatuki, yksityinen, €]])</f>
        <v>518124.66667047818</v>
      </c>
      <c r="P273" s="459">
        <f>Taulukko8[[#This Row],[Palvelut yhteensä, €]]/Taulukko8[[#This Row],[Työttömät 2022]]</f>
        <v>1224.8810086772535</v>
      </c>
      <c r="Q273" s="473">
        <v>460805.10498534405</v>
      </c>
      <c r="R273" s="459">
        <f>Taulukko8[[#This Row],[Toimintamenot, arvio]]/Taulukko8[[#This Row],[Työttömät 2022]]</f>
        <v>1089.3737706509316</v>
      </c>
      <c r="S273" s="473">
        <f>Taulukko8[[#This Row],[Palvelut yhteensä, €]]+Taulukko8[[#This Row],[Toimintamenot, arvio]]</f>
        <v>978929.77165582217</v>
      </c>
      <c r="T273" s="481">
        <f>(Taulukko8[[#This Row],[Palvelut + toimintamenot]]/$S$6)*$T$1</f>
        <v>1028696.4551633836</v>
      </c>
      <c r="U273" s="483">
        <f>Taulukko8[[#This Row],[Palvelut + toimintamenot, skaalattu siirtyvän rahoituksen tasoon]]*0.5</f>
        <v>514348.22758169181</v>
      </c>
    </row>
    <row r="274" spans="1:21">
      <c r="A274" s="465">
        <v>887</v>
      </c>
      <c r="B274" s="456" t="s">
        <v>279</v>
      </c>
      <c r="C274" s="459">
        <v>4569</v>
      </c>
      <c r="D274" s="459">
        <v>1920</v>
      </c>
      <c r="E274" s="459">
        <v>183</v>
      </c>
      <c r="F274" s="459">
        <v>74628</v>
      </c>
      <c r="G274" s="459">
        <v>585.80747763555303</v>
      </c>
      <c r="H274" s="459">
        <v>351.48448658133179</v>
      </c>
      <c r="I274" s="459">
        <v>852.91725355961444</v>
      </c>
      <c r="J274" s="459">
        <v>15640.815283018868</v>
      </c>
      <c r="K274" s="459">
        <v>1606.0708144881296</v>
      </c>
      <c r="L274" s="459">
        <v>85228.02</v>
      </c>
      <c r="M274" s="459">
        <v>38237.82</v>
      </c>
      <c r="N274" s="459">
        <v>82890.429999999993</v>
      </c>
      <c r="O274" s="473">
        <f>SUM(Taulukko8[[#This Row],[Muiden kuin pakolaisten osuus kotoutumiskoulutuksista,  €]:[Palkkatuki, yksityinen, €]])</f>
        <v>224807.55783764794</v>
      </c>
      <c r="P274" s="459">
        <f>Taulukko8[[#This Row],[Palvelut yhteensä, €]]/Taulukko8[[#This Row],[Työttömät 2022]]</f>
        <v>1228.4566002057265</v>
      </c>
      <c r="Q274" s="473">
        <v>204646.3477887231</v>
      </c>
      <c r="R274" s="459">
        <f>Taulukko8[[#This Row],[Toimintamenot, arvio]]/Taulukko8[[#This Row],[Työttömät 2022]]</f>
        <v>1118.2860534902902</v>
      </c>
      <c r="S274" s="473">
        <f>Taulukko8[[#This Row],[Palvelut yhteensä, €]]+Taulukko8[[#This Row],[Toimintamenot, arvio]]</f>
        <v>429453.90562637104</v>
      </c>
      <c r="T274" s="481">
        <f>(Taulukko8[[#This Row],[Palvelut + toimintamenot]]/$S$6)*$T$1</f>
        <v>451286.41825518105</v>
      </c>
      <c r="U274" s="483">
        <f>Taulukko8[[#This Row],[Palvelut + toimintamenot, skaalattu siirtyvän rahoituksen tasoon]]*0.5</f>
        <v>225643.20912759053</v>
      </c>
    </row>
    <row r="275" spans="1:21">
      <c r="A275" s="465">
        <v>889</v>
      </c>
      <c r="B275" s="456" t="s">
        <v>280</v>
      </c>
      <c r="C275" s="459">
        <v>2523</v>
      </c>
      <c r="D275" s="459">
        <v>986</v>
      </c>
      <c r="E275" s="459">
        <v>94</v>
      </c>
      <c r="F275" s="459">
        <v>32253</v>
      </c>
      <c r="G275" s="459">
        <v>26110.838259822929</v>
      </c>
      <c r="H275" s="459">
        <v>15666.502955893757</v>
      </c>
      <c r="I275" s="459">
        <v>71891.272409525656</v>
      </c>
      <c r="J275" s="459">
        <v>1611.1766473988439</v>
      </c>
      <c r="K275" s="459">
        <v>1088.9843476401734</v>
      </c>
      <c r="L275" s="459">
        <v>215574.27000000002</v>
      </c>
      <c r="M275" s="459">
        <v>21243.16</v>
      </c>
      <c r="N275" s="459">
        <v>21038.07</v>
      </c>
      <c r="O275" s="473">
        <f>SUM(Taulukko8[[#This Row],[Muiden kuin pakolaisten osuus kotoutumiskoulutuksista,  €]:[Palkkatuki, yksityinen, €]])</f>
        <v>348113.43636045844</v>
      </c>
      <c r="P275" s="459">
        <f>Taulukko8[[#This Row],[Palvelut yhteensä, €]]/Taulukko8[[#This Row],[Työttömät 2022]]</f>
        <v>3703.3344293665791</v>
      </c>
      <c r="Q275" s="473">
        <v>91423.979432482578</v>
      </c>
      <c r="R275" s="459">
        <f>Taulukko8[[#This Row],[Toimintamenot, arvio]]/Taulukko8[[#This Row],[Työttömät 2022]]</f>
        <v>972.59552587747419</v>
      </c>
      <c r="S275" s="473">
        <f>Taulukko8[[#This Row],[Palvelut yhteensä, €]]+Taulukko8[[#This Row],[Toimintamenot, arvio]]</f>
        <v>439537.415792941</v>
      </c>
      <c r="T275" s="481">
        <f>(Taulukko8[[#This Row],[Palvelut + toimintamenot]]/$S$6)*$T$1</f>
        <v>461882.55238481233</v>
      </c>
      <c r="U275" s="483">
        <f>Taulukko8[[#This Row],[Palvelut + toimintamenot, skaalattu siirtyvän rahoituksen tasoon]]*0.5</f>
        <v>230941.27619240616</v>
      </c>
    </row>
    <row r="276" spans="1:21">
      <c r="A276" s="465">
        <v>890</v>
      </c>
      <c r="B276" s="456" t="s">
        <v>281</v>
      </c>
      <c r="C276" s="459">
        <v>1180</v>
      </c>
      <c r="D276" s="459">
        <v>534</v>
      </c>
      <c r="E276" s="459">
        <v>47</v>
      </c>
      <c r="F276" s="459">
        <v>12363</v>
      </c>
      <c r="G276" s="459">
        <v>2312.1995988669296</v>
      </c>
      <c r="H276" s="459">
        <v>1387.3197593201578</v>
      </c>
      <c r="I276" s="459">
        <v>4702.7431719467331</v>
      </c>
      <c r="J276" s="459">
        <v>0</v>
      </c>
      <c r="K276" s="459">
        <v>2382.7861487209998</v>
      </c>
      <c r="L276" s="459">
        <v>3414.73</v>
      </c>
      <c r="M276" s="459">
        <v>4384.32</v>
      </c>
      <c r="N276" s="459">
        <v>21434.95</v>
      </c>
      <c r="O276" s="473">
        <f>SUM(Taulukko8[[#This Row],[Muiden kuin pakolaisten osuus kotoutumiskoulutuksista,  €]:[Palkkatuki, yksityinen, €]])</f>
        <v>37706.849079987893</v>
      </c>
      <c r="P276" s="459">
        <f>Taulukko8[[#This Row],[Palvelut yhteensä, €]]/Taulukko8[[#This Row],[Työttömät 2022]]</f>
        <v>802.27338468059349</v>
      </c>
      <c r="Q276" s="473">
        <v>44149.622266634527</v>
      </c>
      <c r="R276" s="459">
        <f>Taulukko8[[#This Row],[Toimintamenot, arvio]]/Taulukko8[[#This Row],[Työttömät 2022]]</f>
        <v>939.35366524754318</v>
      </c>
      <c r="S276" s="473">
        <f>Taulukko8[[#This Row],[Palvelut yhteensä, €]]+Taulukko8[[#This Row],[Toimintamenot, arvio]]</f>
        <v>81856.47134662242</v>
      </c>
      <c r="T276" s="481">
        <f>(Taulukko8[[#This Row],[Palvelut + toimintamenot]]/$S$6)*$T$1</f>
        <v>86017.87824270915</v>
      </c>
      <c r="U276" s="483">
        <f>Taulukko8[[#This Row],[Palvelut + toimintamenot, skaalattu siirtyvän rahoituksen tasoon]]*0.5</f>
        <v>43008.939121354575</v>
      </c>
    </row>
    <row r="277" spans="1:21">
      <c r="A277" s="465">
        <v>892</v>
      </c>
      <c r="B277" s="456" t="s">
        <v>282</v>
      </c>
      <c r="C277" s="459">
        <v>3592</v>
      </c>
      <c r="D277" s="459">
        <v>1567</v>
      </c>
      <c r="E277" s="459">
        <v>150</v>
      </c>
      <c r="F277" s="459">
        <v>45325</v>
      </c>
      <c r="G277" s="459">
        <v>5252.6823578703543</v>
      </c>
      <c r="H277" s="459">
        <v>3151.6094147222125</v>
      </c>
      <c r="I277" s="459">
        <v>18206.547513710528</v>
      </c>
      <c r="J277" s="459">
        <v>8331.2016519823792</v>
      </c>
      <c r="K277" s="459">
        <v>1813.2283184606806</v>
      </c>
      <c r="L277" s="459">
        <v>58596.61</v>
      </c>
      <c r="M277" s="459">
        <v>44995.24</v>
      </c>
      <c r="N277" s="459">
        <v>59136.639999999999</v>
      </c>
      <c r="O277" s="473">
        <f>SUM(Taulukko8[[#This Row],[Muiden kuin pakolaisten osuus kotoutumiskoulutuksista,  €]:[Palkkatuki, yksityinen, €]])</f>
        <v>194231.07689887582</v>
      </c>
      <c r="P277" s="459">
        <f>Taulukko8[[#This Row],[Palvelut yhteensä, €]]/Taulukko8[[#This Row],[Työttömät 2022]]</f>
        <v>1294.8738459925055</v>
      </c>
      <c r="Q277" s="473">
        <v>130830.86252443674</v>
      </c>
      <c r="R277" s="459">
        <f>Taulukko8[[#This Row],[Toimintamenot, arvio]]/Taulukko8[[#This Row],[Työttömät 2022]]</f>
        <v>872.20575016291161</v>
      </c>
      <c r="S277" s="473">
        <f>Taulukko8[[#This Row],[Palvelut yhteensä, €]]+Taulukko8[[#This Row],[Toimintamenot, arvio]]</f>
        <v>325061.93942331255</v>
      </c>
      <c r="T277" s="481">
        <f>(Taulukko8[[#This Row],[Palvelut + toimintamenot]]/$S$6)*$T$1</f>
        <v>341587.38908071845</v>
      </c>
      <c r="U277" s="483">
        <f>Taulukko8[[#This Row],[Palvelut + toimintamenot, skaalattu siirtyvän rahoituksen tasoon]]*0.5</f>
        <v>170793.69454035923</v>
      </c>
    </row>
    <row r="278" spans="1:21">
      <c r="A278" s="465">
        <v>893</v>
      </c>
      <c r="B278" s="456" t="s">
        <v>283</v>
      </c>
      <c r="C278" s="459">
        <v>7434</v>
      </c>
      <c r="D278" s="459">
        <v>3416</v>
      </c>
      <c r="E278" s="459">
        <v>130</v>
      </c>
      <c r="F278" s="459">
        <v>55948</v>
      </c>
      <c r="G278" s="459">
        <v>42991.286390784982</v>
      </c>
      <c r="H278" s="459">
        <v>25794.77183447099</v>
      </c>
      <c r="I278" s="459">
        <v>114784.26097269624</v>
      </c>
      <c r="J278" s="459">
        <v>11272.893756613756</v>
      </c>
      <c r="K278" s="459">
        <v>5654.9639638304188</v>
      </c>
      <c r="L278" s="459">
        <v>11777.62</v>
      </c>
      <c r="M278" s="459">
        <v>22361.56</v>
      </c>
      <c r="N278" s="459">
        <v>26983.269999999997</v>
      </c>
      <c r="O278" s="473">
        <f>SUM(Taulukko8[[#This Row],[Muiden kuin pakolaisten osuus kotoutumiskoulutuksista,  €]:[Palkkatuki, yksityinen, €]])</f>
        <v>218629.34052761138</v>
      </c>
      <c r="P278" s="459">
        <f>Taulukko8[[#This Row],[Palvelut yhteensä, €]]/Taulukko8[[#This Row],[Työttömät 2022]]</f>
        <v>1681.7641579047029</v>
      </c>
      <c r="Q278" s="473">
        <v>179361.62868403029</v>
      </c>
      <c r="R278" s="459">
        <f>Taulukko8[[#This Row],[Toimintamenot, arvio]]/Taulukko8[[#This Row],[Työttömät 2022]]</f>
        <v>1379.7048360310023</v>
      </c>
      <c r="S278" s="473">
        <f>Taulukko8[[#This Row],[Palvelut yhteensä, €]]+Taulukko8[[#This Row],[Toimintamenot, arvio]]</f>
        <v>397990.9692116417</v>
      </c>
      <c r="T278" s="481">
        <f>(Taulukko8[[#This Row],[Palvelut + toimintamenot]]/$S$6)*$T$1</f>
        <v>418223.97384293529</v>
      </c>
      <c r="U278" s="483">
        <f>Taulukko8[[#This Row],[Palvelut + toimintamenot, skaalattu siirtyvän rahoituksen tasoon]]*0.5</f>
        <v>209111.98692146764</v>
      </c>
    </row>
    <row r="279" spans="1:21">
      <c r="A279" s="465">
        <v>895</v>
      </c>
      <c r="B279" s="456" t="s">
        <v>284</v>
      </c>
      <c r="C279" s="459">
        <v>15092</v>
      </c>
      <c r="D279" s="459">
        <v>7157</v>
      </c>
      <c r="E279" s="459">
        <v>597</v>
      </c>
      <c r="F279" s="459">
        <v>179139</v>
      </c>
      <c r="G279" s="459">
        <v>202921.79608359616</v>
      </c>
      <c r="H279" s="459">
        <v>121753.07765015769</v>
      </c>
      <c r="I279" s="459">
        <v>129822.30065638054</v>
      </c>
      <c r="J279" s="459">
        <v>39837.804059701491</v>
      </c>
      <c r="K279" s="459">
        <v>5614.4114617940204</v>
      </c>
      <c r="L279" s="459">
        <v>239288</v>
      </c>
      <c r="M279" s="459">
        <v>83567.360000000001</v>
      </c>
      <c r="N279" s="459">
        <v>168534.8</v>
      </c>
      <c r="O279" s="473">
        <f>SUM(Taulukko8[[#This Row],[Muiden kuin pakolaisten osuus kotoutumiskoulutuksista,  €]:[Palkkatuki, yksityinen, €]])</f>
        <v>788417.75382803357</v>
      </c>
      <c r="P279" s="459">
        <f>Taulukko8[[#This Row],[Palvelut yhteensä, €]]/Taulukko8[[#This Row],[Työttömät 2022]]</f>
        <v>1320.6327534807933</v>
      </c>
      <c r="Q279" s="473">
        <v>502811.88198308682</v>
      </c>
      <c r="R279" s="459">
        <f>Taulukko8[[#This Row],[Toimintamenot, arvio]]/Taulukko8[[#This Row],[Työttömät 2022]]</f>
        <v>842.23095809562278</v>
      </c>
      <c r="S279" s="473">
        <f>Taulukko8[[#This Row],[Palvelut yhteensä, €]]+Taulukko8[[#This Row],[Toimintamenot, arvio]]</f>
        <v>1291229.6358111203</v>
      </c>
      <c r="T279" s="481">
        <f>(Taulukko8[[#This Row],[Palvelut + toimintamenot]]/$S$6)*$T$1</f>
        <v>1356872.9725259719</v>
      </c>
      <c r="U279" s="483">
        <f>Taulukko8[[#This Row],[Palvelut + toimintamenot, skaalattu siirtyvän rahoituksen tasoon]]*0.5</f>
        <v>678436.48626298597</v>
      </c>
    </row>
    <row r="280" spans="1:21">
      <c r="A280" s="465">
        <v>905</v>
      </c>
      <c r="B280" s="456" t="s">
        <v>285</v>
      </c>
      <c r="C280" s="459">
        <v>67988</v>
      </c>
      <c r="D280" s="459">
        <v>32771</v>
      </c>
      <c r="E280" s="459">
        <v>2337</v>
      </c>
      <c r="F280" s="459">
        <v>886849</v>
      </c>
      <c r="G280" s="459">
        <v>587899.67966170097</v>
      </c>
      <c r="H280" s="459">
        <v>352739.80779702059</v>
      </c>
      <c r="I280" s="459">
        <v>1569658.3173309658</v>
      </c>
      <c r="J280" s="459">
        <v>667918.95507936506</v>
      </c>
      <c r="K280" s="459">
        <v>101658.85218055143</v>
      </c>
      <c r="L280" s="459">
        <v>944971.79</v>
      </c>
      <c r="M280" s="459">
        <v>298494.33999999997</v>
      </c>
      <c r="N280" s="459">
        <v>1876476.94</v>
      </c>
      <c r="O280" s="473">
        <f>SUM(Taulukko8[[#This Row],[Muiden kuin pakolaisten osuus kotoutumiskoulutuksista,  €]:[Palkkatuki, yksityinen, €]])</f>
        <v>5811919.0023879027</v>
      </c>
      <c r="P280" s="459">
        <f>Taulukko8[[#This Row],[Palvelut yhteensä, €]]/Taulukko8[[#This Row],[Työttömät 2022]]</f>
        <v>2486.9144212186147</v>
      </c>
      <c r="Q280" s="473">
        <v>2843116.4838207546</v>
      </c>
      <c r="R280" s="459">
        <f>Taulukko8[[#This Row],[Toimintamenot, arvio]]/Taulukko8[[#This Row],[Työttömät 2022]]</f>
        <v>1216.5667453233866</v>
      </c>
      <c r="S280" s="473">
        <f>Taulukko8[[#This Row],[Palvelut yhteensä, €]]+Taulukko8[[#This Row],[Toimintamenot, arvio]]</f>
        <v>8655035.4862086568</v>
      </c>
      <c r="T280" s="481">
        <f>(Taulukko8[[#This Row],[Palvelut + toimintamenot]]/$S$6)*$T$1</f>
        <v>9095038.8697611801</v>
      </c>
      <c r="U280" s="483">
        <f>Taulukko8[[#This Row],[Palvelut + toimintamenot, skaalattu siirtyvän rahoituksen tasoon]]*0.5</f>
        <v>4547519.4348805901</v>
      </c>
    </row>
    <row r="281" spans="1:21">
      <c r="A281" s="465">
        <v>908</v>
      </c>
      <c r="B281" s="456" t="s">
        <v>286</v>
      </c>
      <c r="C281" s="459">
        <v>20703</v>
      </c>
      <c r="D281" s="459">
        <v>9009</v>
      </c>
      <c r="E281" s="459">
        <v>805</v>
      </c>
      <c r="F281" s="459">
        <v>275686</v>
      </c>
      <c r="G281" s="459">
        <v>53113.211305623467</v>
      </c>
      <c r="H281" s="459">
        <v>31867.926783374078</v>
      </c>
      <c r="I281" s="459">
        <v>77331.164322738376</v>
      </c>
      <c r="J281" s="459">
        <v>15640.815283018868</v>
      </c>
      <c r="K281" s="459">
        <v>7064.9563150980575</v>
      </c>
      <c r="L281" s="459">
        <v>270041.06</v>
      </c>
      <c r="M281" s="459">
        <v>95693.56</v>
      </c>
      <c r="N281" s="459">
        <v>499423.65</v>
      </c>
      <c r="O281" s="473">
        <f>SUM(Taulukko8[[#This Row],[Muiden kuin pakolaisten osuus kotoutumiskoulutuksista,  €]:[Palkkatuki, yksityinen, €]])</f>
        <v>997063.13270422933</v>
      </c>
      <c r="P281" s="459">
        <f>Taulukko8[[#This Row],[Palvelut yhteensä, €]]/Taulukko8[[#This Row],[Työttömät 2022]]</f>
        <v>1238.5877424897258</v>
      </c>
      <c r="Q281" s="473">
        <v>755991.49161818507</v>
      </c>
      <c r="R281" s="459">
        <f>Taulukko8[[#This Row],[Toimintamenot, arvio]]/Taulukko8[[#This Row],[Työttömät 2022]]</f>
        <v>939.11986536420511</v>
      </c>
      <c r="S281" s="473">
        <f>Taulukko8[[#This Row],[Palvelut yhteensä, €]]+Taulukko8[[#This Row],[Toimintamenot, arvio]]</f>
        <v>1753054.6243224144</v>
      </c>
      <c r="T281" s="481">
        <f>(Taulukko8[[#This Row],[Palvelut + toimintamenot]]/$S$6)*$T$1</f>
        <v>1842176.1498763377</v>
      </c>
      <c r="U281" s="483">
        <f>Taulukko8[[#This Row],[Palvelut + toimintamenot, skaalattu siirtyvän rahoituksen tasoon]]*0.5</f>
        <v>921088.07493816887</v>
      </c>
    </row>
    <row r="282" spans="1:21">
      <c r="A282" s="465">
        <v>915</v>
      </c>
      <c r="B282" s="456" t="s">
        <v>287</v>
      </c>
      <c r="C282" s="459">
        <v>19759</v>
      </c>
      <c r="D282" s="459">
        <v>8264</v>
      </c>
      <c r="E282" s="459">
        <v>998</v>
      </c>
      <c r="F282" s="459">
        <v>339495</v>
      </c>
      <c r="G282" s="459">
        <v>141145.29040456138</v>
      </c>
      <c r="H282" s="459">
        <v>84687.17424273683</v>
      </c>
      <c r="I282" s="459">
        <v>612268.92966072552</v>
      </c>
      <c r="J282" s="459">
        <v>172187.11724867727</v>
      </c>
      <c r="K282" s="459">
        <v>11683.494967790122</v>
      </c>
      <c r="L282" s="459">
        <v>566353.62</v>
      </c>
      <c r="M282" s="459">
        <v>40460.380000000005</v>
      </c>
      <c r="N282" s="459">
        <v>570195.82000000007</v>
      </c>
      <c r="O282" s="473">
        <f>SUM(Taulukko8[[#This Row],[Muiden kuin pakolaisten osuus kotoutumiskoulutuksista,  €]:[Palkkatuki, yksityinen, €]])</f>
        <v>2057836.5361199297</v>
      </c>
      <c r="P282" s="459">
        <f>Taulukko8[[#This Row],[Palvelut yhteensä, €]]/Taulukko8[[#This Row],[Työttömät 2022]]</f>
        <v>2061.960457033998</v>
      </c>
      <c r="Q282" s="473">
        <v>1050992.3845046815</v>
      </c>
      <c r="R282" s="459">
        <f>Taulukko8[[#This Row],[Toimintamenot, arvio]]/Taulukko8[[#This Row],[Työttömät 2022]]</f>
        <v>1053.0985816680175</v>
      </c>
      <c r="S282" s="473">
        <f>Taulukko8[[#This Row],[Palvelut yhteensä, €]]+Taulukko8[[#This Row],[Toimintamenot, arvio]]</f>
        <v>3108828.920624611</v>
      </c>
      <c r="T282" s="481">
        <f>(Taulukko8[[#This Row],[Palvelut + toimintamenot]]/$S$6)*$T$1</f>
        <v>3266875.0945704523</v>
      </c>
      <c r="U282" s="483">
        <f>Taulukko8[[#This Row],[Palvelut + toimintamenot, skaalattu siirtyvän rahoituksen tasoon]]*0.5</f>
        <v>1633437.5472852262</v>
      </c>
    </row>
    <row r="283" spans="1:21">
      <c r="A283" s="465">
        <v>918</v>
      </c>
      <c r="B283" s="456" t="s">
        <v>288</v>
      </c>
      <c r="C283" s="459">
        <v>2228</v>
      </c>
      <c r="D283" s="459">
        <v>1023</v>
      </c>
      <c r="E283" s="459">
        <v>71</v>
      </c>
      <c r="F283" s="459">
        <v>19429</v>
      </c>
      <c r="G283" s="459">
        <v>4506.4278686102343</v>
      </c>
      <c r="H283" s="459">
        <v>2703.8567211661407</v>
      </c>
      <c r="I283" s="459">
        <v>2883.0556644787316</v>
      </c>
      <c r="J283" s="459">
        <v>7588.1531542288549</v>
      </c>
      <c r="K283" s="459">
        <v>667.71057585825031</v>
      </c>
      <c r="L283" s="459">
        <v>4088.03</v>
      </c>
      <c r="M283" s="459">
        <v>9140.1200000000008</v>
      </c>
      <c r="N283" s="459">
        <v>17164.39</v>
      </c>
      <c r="O283" s="473">
        <f>SUM(Taulukko8[[#This Row],[Muiden kuin pakolaisten osuus kotoutumiskoulutuksista,  €]:[Palkkatuki, yksityinen, €]])</f>
        <v>44235.316115731977</v>
      </c>
      <c r="P283" s="459">
        <f>Taulukko8[[#This Row],[Palvelut yhteensä, €]]/Taulukko8[[#This Row],[Työttömät 2022]]</f>
        <v>623.03262134833767</v>
      </c>
      <c r="Q283" s="473">
        <v>54533.809248959711</v>
      </c>
      <c r="R283" s="459">
        <f>Taulukko8[[#This Row],[Toimintamenot, arvio]]/Taulukko8[[#This Row],[Työttömät 2022]]</f>
        <v>768.08182040788324</v>
      </c>
      <c r="S283" s="473">
        <f>Taulukko8[[#This Row],[Palvelut yhteensä, €]]+Taulukko8[[#This Row],[Toimintamenot, arvio]]</f>
        <v>98769.125364691688</v>
      </c>
      <c r="T283" s="481">
        <f>(Taulukko8[[#This Row],[Palvelut + toimintamenot]]/$S$6)*$T$1</f>
        <v>103790.33520493288</v>
      </c>
      <c r="U283" s="483">
        <f>Taulukko8[[#This Row],[Palvelut + toimintamenot, skaalattu siirtyvän rahoituksen tasoon]]*0.5</f>
        <v>51895.167602466441</v>
      </c>
    </row>
    <row r="284" spans="1:21">
      <c r="A284" s="465">
        <v>921</v>
      </c>
      <c r="B284" s="456" t="s">
        <v>289</v>
      </c>
      <c r="C284" s="459">
        <v>1894</v>
      </c>
      <c r="D284" s="459">
        <v>707</v>
      </c>
      <c r="E284" s="459">
        <v>66</v>
      </c>
      <c r="F284" s="459">
        <v>21362</v>
      </c>
      <c r="G284" s="459">
        <v>2791.766869926661</v>
      </c>
      <c r="H284" s="459">
        <v>1675.0601219559965</v>
      </c>
      <c r="I284" s="459">
        <v>12110.302146199212</v>
      </c>
      <c r="J284" s="459">
        <v>7486.3964021164029</v>
      </c>
      <c r="K284" s="459">
        <v>772.65597983381565</v>
      </c>
      <c r="L284" s="459">
        <v>48504.840000000004</v>
      </c>
      <c r="M284" s="459">
        <v>8800.32</v>
      </c>
      <c r="N284" s="459">
        <v>7630.66</v>
      </c>
      <c r="O284" s="473">
        <f>SUM(Taulukko8[[#This Row],[Muiden kuin pakolaisten osuus kotoutumiskoulutuksista,  €]:[Palkkatuki, yksityinen, €]])</f>
        <v>86980.234650105442</v>
      </c>
      <c r="P284" s="459">
        <f>Taulukko8[[#This Row],[Palvelut yhteensä, €]]/Taulukko8[[#This Row],[Työttömät 2022]]</f>
        <v>1317.8823431834157</v>
      </c>
      <c r="Q284" s="473">
        <v>66131.457953103891</v>
      </c>
      <c r="R284" s="459">
        <f>Taulukko8[[#This Row],[Toimintamenot, arvio]]/Taulukko8[[#This Row],[Työttömät 2022]]</f>
        <v>1001.9917871682408</v>
      </c>
      <c r="S284" s="473">
        <f>Taulukko8[[#This Row],[Palvelut yhteensä, €]]+Taulukko8[[#This Row],[Toimintamenot, arvio]]</f>
        <v>153111.69260320935</v>
      </c>
      <c r="T284" s="481">
        <f>(Taulukko8[[#This Row],[Palvelut + toimintamenot]]/$S$6)*$T$1</f>
        <v>160895.56164848545</v>
      </c>
      <c r="U284" s="483">
        <f>Taulukko8[[#This Row],[Palvelut + toimintamenot, skaalattu siirtyvän rahoituksen tasoon]]*0.5</f>
        <v>80447.780824242727</v>
      </c>
    </row>
    <row r="285" spans="1:21">
      <c r="A285" s="465">
        <v>922</v>
      </c>
      <c r="B285" s="456" t="s">
        <v>290</v>
      </c>
      <c r="C285" s="459">
        <v>4501</v>
      </c>
      <c r="D285" s="459">
        <v>2160</v>
      </c>
      <c r="E285" s="459">
        <v>108</v>
      </c>
      <c r="F285" s="459">
        <v>43711</v>
      </c>
      <c r="G285" s="459">
        <v>7176.1416010355251</v>
      </c>
      <c r="H285" s="459">
        <v>4305.6849606213145</v>
      </c>
      <c r="I285" s="459">
        <v>10448.236356105279</v>
      </c>
      <c r="J285" s="459">
        <v>10427.210188679246</v>
      </c>
      <c r="K285" s="459">
        <v>947.84507084545351</v>
      </c>
      <c r="L285" s="459">
        <v>38542.69</v>
      </c>
      <c r="M285" s="459">
        <v>24131.059999999998</v>
      </c>
      <c r="N285" s="459">
        <v>77675.13</v>
      </c>
      <c r="O285" s="473">
        <f>SUM(Taulukko8[[#This Row],[Muiden kuin pakolaisten osuus kotoutumiskoulutuksista,  €]:[Palkkatuki, yksityinen, €]])</f>
        <v>166477.8565762513</v>
      </c>
      <c r="P285" s="459">
        <f>Taulukko8[[#This Row],[Palvelut yhteensä, €]]/Taulukko8[[#This Row],[Työttömät 2022]]</f>
        <v>1541.4616349652899</v>
      </c>
      <c r="Q285" s="473">
        <v>119865.1512594854</v>
      </c>
      <c r="R285" s="459">
        <f>Taulukko8[[#This Row],[Toimintamenot, arvio]]/Taulukko8[[#This Row],[Työttömät 2022]]</f>
        <v>1109.8625116619019</v>
      </c>
      <c r="S285" s="473">
        <f>Taulukko8[[#This Row],[Palvelut yhteensä, €]]+Taulukko8[[#This Row],[Toimintamenot, arvio]]</f>
        <v>286343.00783573673</v>
      </c>
      <c r="T285" s="481">
        <f>(Taulukko8[[#This Row],[Palvelut + toimintamenot]]/$S$6)*$T$1</f>
        <v>300900.07031168987</v>
      </c>
      <c r="U285" s="483">
        <f>Taulukko8[[#This Row],[Palvelut + toimintamenot, skaalattu siirtyvän rahoituksen tasoon]]*0.5</f>
        <v>150450.03515584493</v>
      </c>
    </row>
    <row r="286" spans="1:21">
      <c r="A286" s="465">
        <v>924</v>
      </c>
      <c r="B286" s="456" t="s">
        <v>291</v>
      </c>
      <c r="C286" s="459">
        <v>2946</v>
      </c>
      <c r="D286" s="459">
        <v>1237</v>
      </c>
      <c r="E286" s="459">
        <v>72</v>
      </c>
      <c r="F286" s="459">
        <v>28951</v>
      </c>
      <c r="G286" s="459">
        <v>2781.5820023521815</v>
      </c>
      <c r="H286" s="459">
        <v>1668.9492014113089</v>
      </c>
      <c r="I286" s="459">
        <v>7426.6638958583153</v>
      </c>
      <c r="J286" s="459">
        <v>2818.2234391534389</v>
      </c>
      <c r="K286" s="459">
        <v>3131.9800415060777</v>
      </c>
      <c r="L286" s="459">
        <v>3494.38</v>
      </c>
      <c r="M286" s="459">
        <v>19417.36</v>
      </c>
      <c r="N286" s="459">
        <v>43273.45</v>
      </c>
      <c r="O286" s="473">
        <f>SUM(Taulukko8[[#This Row],[Muiden kuin pakolaisten osuus kotoutumiskoulutuksista,  €]:[Palkkatuki, yksityinen, €]])</f>
        <v>81231.006577929133</v>
      </c>
      <c r="P286" s="459">
        <f>Taulukko8[[#This Row],[Palvelut yhteensä, €]]/Taulukko8[[#This Row],[Työttömät 2022]]</f>
        <v>1128.2084246934601</v>
      </c>
      <c r="Q286" s="473">
        <v>92812.942590107967</v>
      </c>
      <c r="R286" s="459">
        <f>Taulukko8[[#This Row],[Toimintamenot, arvio]]/Taulukko8[[#This Row],[Työttömät 2022]]</f>
        <v>1289.0686470848329</v>
      </c>
      <c r="S286" s="473">
        <f>Taulukko8[[#This Row],[Palvelut yhteensä, €]]+Taulukko8[[#This Row],[Toimintamenot, arvio]]</f>
        <v>174043.9491680371</v>
      </c>
      <c r="T286" s="481">
        <f>(Taulukko8[[#This Row],[Palvelut + toimintamenot]]/$S$6)*$T$1</f>
        <v>182891.96910311485</v>
      </c>
      <c r="U286" s="483">
        <f>Taulukko8[[#This Row],[Palvelut + toimintamenot, skaalattu siirtyvän rahoituksen tasoon]]*0.5</f>
        <v>91445.984551557427</v>
      </c>
    </row>
    <row r="287" spans="1:21">
      <c r="A287" s="465">
        <v>925</v>
      </c>
      <c r="B287" s="456" t="s">
        <v>292</v>
      </c>
      <c r="C287" s="459">
        <v>3427</v>
      </c>
      <c r="D287" s="459">
        <v>1617</v>
      </c>
      <c r="E287" s="459">
        <v>117</v>
      </c>
      <c r="F287" s="459">
        <v>37255</v>
      </c>
      <c r="G287" s="459">
        <v>14334.649120584972</v>
      </c>
      <c r="H287" s="459">
        <v>8600.7894723509835</v>
      </c>
      <c r="I287" s="459">
        <v>62181.743712215197</v>
      </c>
      <c r="J287" s="459">
        <v>22459.189206349209</v>
      </c>
      <c r="K287" s="459">
        <v>1369.7083278872187</v>
      </c>
      <c r="L287" s="459">
        <v>45034.63</v>
      </c>
      <c r="M287" s="459">
        <v>7898.12</v>
      </c>
      <c r="N287" s="459">
        <v>31591.949999999997</v>
      </c>
      <c r="O287" s="473">
        <f>SUM(Taulukko8[[#This Row],[Muiden kuin pakolaisten osuus kotoutumiskoulutuksista,  €]:[Palkkatuki, yksityinen, €]])</f>
        <v>179136.13071880263</v>
      </c>
      <c r="P287" s="459">
        <f>Taulukko8[[#This Row],[Palvelut yhteensä, €]]/Taulukko8[[#This Row],[Työttömät 2022]]</f>
        <v>1531.0780403316464</v>
      </c>
      <c r="Q287" s="473">
        <v>115332.24726349993</v>
      </c>
      <c r="R287" s="459">
        <f>Taulukko8[[#This Row],[Toimintamenot, arvio]]/Taulukko8[[#This Row],[Työttömät 2022]]</f>
        <v>985.74570310683703</v>
      </c>
      <c r="S287" s="473">
        <f>Taulukko8[[#This Row],[Palvelut yhteensä, €]]+Taulukko8[[#This Row],[Toimintamenot, arvio]]</f>
        <v>294468.37798230257</v>
      </c>
      <c r="T287" s="481">
        <f>(Taulukko8[[#This Row],[Palvelut + toimintamenot]]/$S$6)*$T$1</f>
        <v>309438.51679547026</v>
      </c>
      <c r="U287" s="483">
        <f>Taulukko8[[#This Row],[Palvelut + toimintamenot, skaalattu siirtyvän rahoituksen tasoon]]*0.5</f>
        <v>154719.25839773513</v>
      </c>
    </row>
    <row r="288" spans="1:21">
      <c r="A288" s="465">
        <v>927</v>
      </c>
      <c r="B288" s="456" t="s">
        <v>293</v>
      </c>
      <c r="C288" s="459">
        <v>28913</v>
      </c>
      <c r="D288" s="459">
        <v>14545</v>
      </c>
      <c r="E288" s="459">
        <v>1031</v>
      </c>
      <c r="F288" s="459">
        <v>306710</v>
      </c>
      <c r="G288" s="459">
        <v>291790.96932069829</v>
      </c>
      <c r="H288" s="459">
        <v>175074.58159241898</v>
      </c>
      <c r="I288" s="459">
        <v>153610.4578108367</v>
      </c>
      <c r="J288" s="459">
        <v>71847.793640643402</v>
      </c>
      <c r="K288" s="459">
        <v>27434.904485385883</v>
      </c>
      <c r="L288" s="459">
        <v>473230.60000000003</v>
      </c>
      <c r="M288" s="459">
        <v>236550.86000000002</v>
      </c>
      <c r="N288" s="459">
        <v>592751.14</v>
      </c>
      <c r="O288" s="473">
        <f>SUM(Taulukko8[[#This Row],[Muiden kuin pakolaisten osuus kotoutumiskoulutuksista,  €]:[Palkkatuki, yksityinen, €]])</f>
        <v>1730500.3375292849</v>
      </c>
      <c r="P288" s="459">
        <f>Taulukko8[[#This Row],[Palvelut yhteensä, €]]/Taulukko8[[#This Row],[Työttömät 2022]]</f>
        <v>1678.4678346549804</v>
      </c>
      <c r="Q288" s="473">
        <v>915767.0577795126</v>
      </c>
      <c r="R288" s="459">
        <f>Taulukko8[[#This Row],[Toimintamenot, arvio]]/Taulukko8[[#This Row],[Työttömät 2022]]</f>
        <v>888.2318698152402</v>
      </c>
      <c r="S288" s="473">
        <f>Taulukko8[[#This Row],[Palvelut yhteensä, €]]+Taulukko8[[#This Row],[Toimintamenot, arvio]]</f>
        <v>2646267.3953087972</v>
      </c>
      <c r="T288" s="481">
        <f>(Taulukko8[[#This Row],[Palvelut + toimintamenot]]/$S$6)*$T$1</f>
        <v>2780797.9364690213</v>
      </c>
      <c r="U288" s="483">
        <f>Taulukko8[[#This Row],[Palvelut + toimintamenot, skaalattu siirtyvän rahoituksen tasoon]]*0.5</f>
        <v>1390398.9682345106</v>
      </c>
    </row>
    <row r="289" spans="1:21">
      <c r="A289" s="465">
        <v>931</v>
      </c>
      <c r="B289" s="456" t="s">
        <v>294</v>
      </c>
      <c r="C289" s="459">
        <v>5951</v>
      </c>
      <c r="D289" s="459">
        <v>2410</v>
      </c>
      <c r="E289" s="459">
        <v>228</v>
      </c>
      <c r="F289" s="459">
        <v>66563</v>
      </c>
      <c r="G289" s="459">
        <v>25269.661072997922</v>
      </c>
      <c r="H289" s="459">
        <v>15161.796643798752</v>
      </c>
      <c r="I289" s="459">
        <v>87588.255606499297</v>
      </c>
      <c r="J289" s="459">
        <v>9997.4419823788539</v>
      </c>
      <c r="K289" s="459">
        <v>2756.1070440602343</v>
      </c>
      <c r="L289" s="459">
        <v>502540.69</v>
      </c>
      <c r="M289" s="459">
        <v>43447.240000000005</v>
      </c>
      <c r="N289" s="459">
        <v>136628.71</v>
      </c>
      <c r="O289" s="473">
        <f>SUM(Taulukko8[[#This Row],[Muiden kuin pakolaisten osuus kotoutumiskoulutuksista,  €]:[Palkkatuki, yksityinen, €]])</f>
        <v>798120.24127673707</v>
      </c>
      <c r="P289" s="459">
        <f>Taulukko8[[#This Row],[Palvelut yhteensä, €]]/Taulukko8[[#This Row],[Työttömät 2022]]</f>
        <v>3500.5273740207767</v>
      </c>
      <c r="Q289" s="473">
        <v>192134.46667874424</v>
      </c>
      <c r="R289" s="459">
        <f>Taulukko8[[#This Row],[Toimintamenot, arvio]]/Taulukko8[[#This Row],[Työttömät 2022]]</f>
        <v>842.6950292927379</v>
      </c>
      <c r="S289" s="473">
        <f>Taulukko8[[#This Row],[Palvelut yhteensä, €]]+Taulukko8[[#This Row],[Toimintamenot, arvio]]</f>
        <v>990254.70795548125</v>
      </c>
      <c r="T289" s="481">
        <f>(Taulukko8[[#This Row],[Palvelut + toimintamenot]]/$S$6)*$T$1</f>
        <v>1040597.1268598886</v>
      </c>
      <c r="U289" s="483">
        <f>Taulukko8[[#This Row],[Palvelut + toimintamenot, skaalattu siirtyvän rahoituksen tasoon]]*0.5</f>
        <v>520298.56342994428</v>
      </c>
    </row>
    <row r="290" spans="1:21">
      <c r="A290" s="465">
        <v>934</v>
      </c>
      <c r="B290" s="456" t="s">
        <v>295</v>
      </c>
      <c r="C290" s="459">
        <v>2671</v>
      </c>
      <c r="D290" s="459">
        <v>1172</v>
      </c>
      <c r="E290" s="459">
        <v>63</v>
      </c>
      <c r="F290" s="459">
        <v>21835</v>
      </c>
      <c r="G290" s="459">
        <v>15526.983967412534</v>
      </c>
      <c r="H290" s="459">
        <v>9316.1903804475205</v>
      </c>
      <c r="I290" s="459">
        <v>25301.882636013619</v>
      </c>
      <c r="J290" s="459">
        <v>23467.009003984062</v>
      </c>
      <c r="K290" s="459">
        <v>835.41568825545721</v>
      </c>
      <c r="L290" s="459">
        <v>20226.84</v>
      </c>
      <c r="M290" s="459">
        <v>23954.04</v>
      </c>
      <c r="N290" s="459">
        <v>78196.040000000008</v>
      </c>
      <c r="O290" s="473">
        <f>SUM(Taulukko8[[#This Row],[Muiden kuin pakolaisten osuus kotoutumiskoulutuksista,  €]:[Palkkatuki, yksityinen, €]])</f>
        <v>181297.41770870067</v>
      </c>
      <c r="P290" s="459">
        <f>Taulukko8[[#This Row],[Palvelut yhteensä, €]]/Taulukko8[[#This Row],[Työttömät 2022]]</f>
        <v>2877.7367890269948</v>
      </c>
      <c r="Q290" s="473">
        <v>77164.936029823963</v>
      </c>
      <c r="R290" s="459">
        <f>Taulukko8[[#This Row],[Toimintamenot, arvio]]/Taulukko8[[#This Row],[Työttömät 2022]]</f>
        <v>1224.8402544416501</v>
      </c>
      <c r="S290" s="473">
        <f>Taulukko8[[#This Row],[Palvelut yhteensä, €]]+Taulukko8[[#This Row],[Toimintamenot, arvio]]</f>
        <v>258462.35373852463</v>
      </c>
      <c r="T290" s="481">
        <f>(Taulukko8[[#This Row],[Palvelut + toimintamenot]]/$S$6)*$T$1</f>
        <v>271602.02374301088</v>
      </c>
      <c r="U290" s="483">
        <f>Taulukko8[[#This Row],[Palvelut + toimintamenot, skaalattu siirtyvän rahoituksen tasoon]]*0.5</f>
        <v>135801.01187150544</v>
      </c>
    </row>
    <row r="291" spans="1:21">
      <c r="A291" s="465">
        <v>935</v>
      </c>
      <c r="B291" s="456" t="s">
        <v>296</v>
      </c>
      <c r="C291" s="459">
        <v>2985</v>
      </c>
      <c r="D291" s="459">
        <v>1291</v>
      </c>
      <c r="E291" s="459">
        <v>153</v>
      </c>
      <c r="F291" s="459">
        <v>51913</v>
      </c>
      <c r="G291" s="459">
        <v>19295.053384730454</v>
      </c>
      <c r="H291" s="459">
        <v>11577.032030838272</v>
      </c>
      <c r="I291" s="459">
        <v>24949.949264139002</v>
      </c>
      <c r="J291" s="459">
        <v>38825.240141509428</v>
      </c>
      <c r="K291" s="459">
        <v>1524.4327370174551</v>
      </c>
      <c r="L291" s="459">
        <v>45652.9</v>
      </c>
      <c r="M291" s="459">
        <v>0</v>
      </c>
      <c r="N291" s="459">
        <v>8278.0299999999988</v>
      </c>
      <c r="O291" s="473">
        <f>SUM(Taulukko8[[#This Row],[Muiden kuin pakolaisten osuus kotoutumiskoulutuksista,  €]:[Palkkatuki, yksityinen, €]])</f>
        <v>130807.58417350415</v>
      </c>
      <c r="P291" s="459">
        <f>Taulukko8[[#This Row],[Palvelut yhteensä, €]]/Taulukko8[[#This Row],[Työttömät 2022]]</f>
        <v>854.95153054577872</v>
      </c>
      <c r="Q291" s="473">
        <v>165732.29345268445</v>
      </c>
      <c r="R291" s="459">
        <f>Taulukko8[[#This Row],[Toimintamenot, arvio]]/Taulukko8[[#This Row],[Työttömät 2022]]</f>
        <v>1083.2176042659114</v>
      </c>
      <c r="S291" s="473">
        <f>Taulukko8[[#This Row],[Palvelut yhteensä, €]]+Taulukko8[[#This Row],[Toimintamenot, arvio]]</f>
        <v>296539.87762618857</v>
      </c>
      <c r="T291" s="481">
        <f>(Taulukko8[[#This Row],[Palvelut + toimintamenot]]/$S$6)*$T$1</f>
        <v>311615.32702459767</v>
      </c>
      <c r="U291" s="483">
        <f>Taulukko8[[#This Row],[Palvelut + toimintamenot, skaalattu siirtyvän rahoituksen tasoon]]*0.5</f>
        <v>155807.66351229884</v>
      </c>
    </row>
    <row r="292" spans="1:21">
      <c r="A292" s="465">
        <v>936</v>
      </c>
      <c r="B292" s="456" t="s">
        <v>297</v>
      </c>
      <c r="C292" s="459">
        <v>6395</v>
      </c>
      <c r="D292" s="459">
        <v>2554</v>
      </c>
      <c r="E292" s="459">
        <v>205</v>
      </c>
      <c r="F292" s="459">
        <v>64626</v>
      </c>
      <c r="G292" s="459">
        <v>5760.4401967496042</v>
      </c>
      <c r="H292" s="459">
        <v>3456.2641180497626</v>
      </c>
      <c r="I292" s="459">
        <v>8387.0196600028758</v>
      </c>
      <c r="J292" s="459">
        <v>10427.210188679246</v>
      </c>
      <c r="K292" s="459">
        <v>1799.1503659566479</v>
      </c>
      <c r="L292" s="459">
        <v>177918</v>
      </c>
      <c r="M292" s="459">
        <v>37019.660000000003</v>
      </c>
      <c r="N292" s="459">
        <v>228607.04</v>
      </c>
      <c r="O292" s="473">
        <f>SUM(Taulukko8[[#This Row],[Muiden kuin pakolaisten osuus kotoutumiskoulutuksista,  €]:[Palkkatuki, yksityinen, €]])</f>
        <v>467614.34433268855</v>
      </c>
      <c r="P292" s="459">
        <f>Taulukko8[[#This Row],[Palvelut yhteensä, €]]/Taulukko8[[#This Row],[Työttömät 2022]]</f>
        <v>2281.0455821106757</v>
      </c>
      <c r="Q292" s="473">
        <v>177218.6695636225</v>
      </c>
      <c r="R292" s="459">
        <f>Taulukko8[[#This Row],[Toimintamenot, arvio]]/Taulukko8[[#This Row],[Työttömät 2022]]</f>
        <v>864.48131494450001</v>
      </c>
      <c r="S292" s="473">
        <f>Taulukko8[[#This Row],[Palvelut yhteensä, €]]+Taulukko8[[#This Row],[Toimintamenot, arvio]]</f>
        <v>644833.01389631105</v>
      </c>
      <c r="T292" s="481">
        <f>(Taulukko8[[#This Row],[Palvelut + toimintamenot]]/$S$6)*$T$1</f>
        <v>677614.93701989099</v>
      </c>
      <c r="U292" s="483">
        <f>Taulukko8[[#This Row],[Palvelut + toimintamenot, skaalattu siirtyvän rahoituksen tasoon]]*0.5</f>
        <v>338807.46850994549</v>
      </c>
    </row>
    <row r="293" spans="1:21">
      <c r="A293" s="465">
        <v>946</v>
      </c>
      <c r="B293" s="456" t="s">
        <v>298</v>
      </c>
      <c r="C293" s="459">
        <v>6287</v>
      </c>
      <c r="D293" s="459">
        <v>2835</v>
      </c>
      <c r="E293" s="459">
        <v>113</v>
      </c>
      <c r="F293" s="459">
        <v>43585</v>
      </c>
      <c r="G293" s="459">
        <v>17112.01079928051</v>
      </c>
      <c r="H293" s="459">
        <v>10267.206479568305</v>
      </c>
      <c r="I293" s="459">
        <v>45688.084220090401</v>
      </c>
      <c r="J293" s="459">
        <v>25364.010952380951</v>
      </c>
      <c r="K293" s="459">
        <v>4915.4686762525944</v>
      </c>
      <c r="L293" s="459">
        <v>44886.740000000005</v>
      </c>
      <c r="M293" s="459">
        <v>47172.26</v>
      </c>
      <c r="N293" s="459">
        <v>51598.83</v>
      </c>
      <c r="O293" s="473">
        <f>SUM(Taulukko8[[#This Row],[Muiden kuin pakolaisten osuus kotoutumiskoulutuksista,  €]:[Palkkatuki, yksityinen, €]])</f>
        <v>229892.60032829229</v>
      </c>
      <c r="P293" s="459">
        <f>Taulukko8[[#This Row],[Palvelut yhteensä, €]]/Taulukko8[[#This Row],[Työttömät 2022]]</f>
        <v>2034.447790515861</v>
      </c>
      <c r="Q293" s="473">
        <v>139727.54318641344</v>
      </c>
      <c r="R293" s="459">
        <f>Taulukko8[[#This Row],[Toimintamenot, arvio]]/Taulukko8[[#This Row],[Työttömät 2022]]</f>
        <v>1236.5269308532163</v>
      </c>
      <c r="S293" s="473">
        <f>Taulukko8[[#This Row],[Palvelut yhteensä, €]]+Taulukko8[[#This Row],[Toimintamenot, arvio]]</f>
        <v>369620.14351470571</v>
      </c>
      <c r="T293" s="481">
        <f>(Taulukko8[[#This Row],[Palvelut + toimintamenot]]/$S$6)*$T$1</f>
        <v>388410.83640496456</v>
      </c>
      <c r="U293" s="483">
        <f>Taulukko8[[#This Row],[Palvelut + toimintamenot, skaalattu siirtyvän rahoituksen tasoon]]*0.5</f>
        <v>194205.41820248228</v>
      </c>
    </row>
    <row r="294" spans="1:21">
      <c r="A294" s="465">
        <v>976</v>
      </c>
      <c r="B294" s="456" t="s">
        <v>299</v>
      </c>
      <c r="C294" s="459">
        <v>3788</v>
      </c>
      <c r="D294" s="459">
        <v>1476</v>
      </c>
      <c r="E294" s="459">
        <v>184</v>
      </c>
      <c r="F294" s="459">
        <v>54557</v>
      </c>
      <c r="G294" s="459">
        <v>66151.46657246117</v>
      </c>
      <c r="H294" s="459">
        <v>39690.879943476699</v>
      </c>
      <c r="I294" s="459">
        <v>134544.33513886627</v>
      </c>
      <c r="J294" s="459">
        <v>44852.052164948458</v>
      </c>
      <c r="K294" s="459">
        <v>9328.3542843545511</v>
      </c>
      <c r="L294" s="459">
        <v>100383.21</v>
      </c>
      <c r="M294" s="459">
        <v>38484.200000000004</v>
      </c>
      <c r="N294" s="459">
        <v>107429.5</v>
      </c>
      <c r="O294" s="473">
        <f>SUM(Taulukko8[[#This Row],[Muiden kuin pakolaisten osuus kotoutumiskoulutuksista,  €]:[Palkkatuki, yksityinen, €]])</f>
        <v>474712.53153164597</v>
      </c>
      <c r="P294" s="459">
        <f>Taulukko8[[#This Row],[Palvelut yhteensä, €]]/Taulukko8[[#This Row],[Työttömät 2022]]</f>
        <v>2579.9594104980761</v>
      </c>
      <c r="Q294" s="473">
        <v>194829.00121336084</v>
      </c>
      <c r="R294" s="459">
        <f>Taulukko8[[#This Row],[Toimintamenot, arvio]]/Taulukko8[[#This Row],[Työttömät 2022]]</f>
        <v>1058.8532674639175</v>
      </c>
      <c r="S294" s="473">
        <f>Taulukko8[[#This Row],[Palvelut yhteensä, €]]+Taulukko8[[#This Row],[Toimintamenot, arvio]]</f>
        <v>669541.53274500684</v>
      </c>
      <c r="T294" s="481">
        <f>(Taulukko8[[#This Row],[Palvelut + toimintamenot]]/$S$6)*$T$1</f>
        <v>703579.5838085959</v>
      </c>
      <c r="U294" s="483">
        <f>Taulukko8[[#This Row],[Palvelut + toimintamenot, skaalattu siirtyvän rahoituksen tasoon]]*0.5</f>
        <v>351789.79190429795</v>
      </c>
    </row>
    <row r="295" spans="1:21">
      <c r="A295" s="465">
        <v>977</v>
      </c>
      <c r="B295" s="456" t="s">
        <v>300</v>
      </c>
      <c r="C295" s="459">
        <v>15293</v>
      </c>
      <c r="D295" s="459">
        <v>6976</v>
      </c>
      <c r="E295" s="459">
        <v>523</v>
      </c>
      <c r="F295" s="459">
        <v>168146</v>
      </c>
      <c r="G295" s="459">
        <v>25338.137744119169</v>
      </c>
      <c r="H295" s="459">
        <v>15202.8826464715</v>
      </c>
      <c r="I295" s="459">
        <v>69763.787159428713</v>
      </c>
      <c r="J295" s="459">
        <v>4833.529942196531</v>
      </c>
      <c r="K295" s="459">
        <v>6058.9235512320274</v>
      </c>
      <c r="L295" s="459">
        <v>102557.19</v>
      </c>
      <c r="M295" s="459">
        <v>75803.540000000008</v>
      </c>
      <c r="N295" s="459">
        <v>187703.21</v>
      </c>
      <c r="O295" s="473">
        <f>SUM(Taulukko8[[#This Row],[Muiden kuin pakolaisten osuus kotoutumiskoulutuksista,  €]:[Palkkatuki, yksityinen, €]])</f>
        <v>461923.06329932879</v>
      </c>
      <c r="P295" s="459">
        <f>Taulukko8[[#This Row],[Palvelut yhteensä, €]]/Taulukko8[[#This Row],[Työttömät 2022]]</f>
        <v>883.21809426257892</v>
      </c>
      <c r="Q295" s="473">
        <v>476624.69989316392</v>
      </c>
      <c r="R295" s="459">
        <f>Taulukko8[[#This Row],[Toimintamenot, arvio]]/Taulukko8[[#This Row],[Työttömät 2022]]</f>
        <v>911.32829807488326</v>
      </c>
      <c r="S295" s="473">
        <f>Taulukko8[[#This Row],[Palvelut yhteensä, €]]+Taulukko8[[#This Row],[Toimintamenot, arvio]]</f>
        <v>938547.76319249277</v>
      </c>
      <c r="T295" s="481">
        <f>(Taulukko8[[#This Row],[Palvelut + toimintamenot]]/$S$6)*$T$1</f>
        <v>986261.51226820541</v>
      </c>
      <c r="U295" s="483">
        <f>Taulukko8[[#This Row],[Palvelut + toimintamenot, skaalattu siirtyvän rahoituksen tasoon]]*0.5</f>
        <v>493130.7561341027</v>
      </c>
    </row>
    <row r="296" spans="1:21">
      <c r="A296" s="465">
        <v>980</v>
      </c>
      <c r="B296" s="456" t="s">
        <v>301</v>
      </c>
      <c r="C296" s="459">
        <v>33607</v>
      </c>
      <c r="D296" s="459">
        <v>16356</v>
      </c>
      <c r="E296" s="459">
        <v>911</v>
      </c>
      <c r="F296" s="459">
        <v>325986</v>
      </c>
      <c r="G296" s="459">
        <v>102223.404847404</v>
      </c>
      <c r="H296" s="459">
        <v>61334.042908442396</v>
      </c>
      <c r="I296" s="459">
        <v>148834.06074615274</v>
      </c>
      <c r="J296" s="459">
        <v>67776.866226415092</v>
      </c>
      <c r="K296" s="459">
        <v>7995.2486994463725</v>
      </c>
      <c r="L296" s="459">
        <v>513393.98</v>
      </c>
      <c r="M296" s="459">
        <v>300836.12</v>
      </c>
      <c r="N296" s="459">
        <v>528634.55000000005</v>
      </c>
      <c r="O296" s="473">
        <f>SUM(Taulukko8[[#This Row],[Muiden kuin pakolaisten osuus kotoutumiskoulutuksista,  €]:[Palkkatuki, yksityinen, €]])</f>
        <v>1628804.8685804566</v>
      </c>
      <c r="P296" s="459">
        <f>Taulukko8[[#This Row],[Palvelut yhteensä, €]]/Taulukko8[[#This Row],[Työttömät 2022]]</f>
        <v>1787.9307009664726</v>
      </c>
      <c r="Q296" s="473">
        <v>893925.12636349222</v>
      </c>
      <c r="R296" s="459">
        <f>Taulukko8[[#This Row],[Toimintamenot, arvio]]/Taulukko8[[#This Row],[Työttömät 2022]]</f>
        <v>981.25699930130872</v>
      </c>
      <c r="S296" s="473">
        <f>Taulukko8[[#This Row],[Palvelut yhteensä, €]]+Taulukko8[[#This Row],[Toimintamenot, arvio]]</f>
        <v>2522729.9949439489</v>
      </c>
      <c r="T296" s="481">
        <f>(Taulukko8[[#This Row],[Palvelut + toimintamenot]]/$S$6)*$T$1</f>
        <v>2650980.1604497423</v>
      </c>
      <c r="U296" s="483">
        <f>Taulukko8[[#This Row],[Palvelut + toimintamenot, skaalattu siirtyvän rahoituksen tasoon]]*0.5</f>
        <v>1325490.0802248712</v>
      </c>
    </row>
    <row r="297" spans="1:21">
      <c r="A297" s="465">
        <v>981</v>
      </c>
      <c r="B297" s="456" t="s">
        <v>302</v>
      </c>
      <c r="C297" s="459">
        <v>2237</v>
      </c>
      <c r="D297" s="459">
        <v>1059</v>
      </c>
      <c r="E297" s="459">
        <v>85</v>
      </c>
      <c r="F297" s="459">
        <v>29448</v>
      </c>
      <c r="G297" s="459">
        <v>10846.996408769852</v>
      </c>
      <c r="H297" s="459">
        <v>6508.1978452619105</v>
      </c>
      <c r="I297" s="459">
        <v>5260.1758379945295</v>
      </c>
      <c r="J297" s="459">
        <v>10658.023742603551</v>
      </c>
      <c r="K297" s="459">
        <v>1156.1646172907488</v>
      </c>
      <c r="L297" s="459">
        <v>37012.370000000003</v>
      </c>
      <c r="M297" s="459">
        <v>22897.599999999999</v>
      </c>
      <c r="N297" s="459">
        <v>28066.229999999996</v>
      </c>
      <c r="O297" s="473">
        <f>SUM(Taulukko8[[#This Row],[Muiden kuin pakolaisten osuus kotoutumiskoulutuksista,  €]:[Palkkatuki, yksityinen, €]])</f>
        <v>111558.76204315074</v>
      </c>
      <c r="P297" s="459">
        <f>Taulukko8[[#This Row],[Palvelut yhteensä, €]]/Taulukko8[[#This Row],[Työttömät 2022]]</f>
        <v>1312.4560240370674</v>
      </c>
      <c r="Q297" s="473">
        <v>86535.708044025465</v>
      </c>
      <c r="R297" s="459">
        <f>Taulukko8[[#This Row],[Toimintamenot, arvio]]/Taulukko8[[#This Row],[Työttömät 2022]]</f>
        <v>1018.0671534591231</v>
      </c>
      <c r="S297" s="473">
        <f>Taulukko8[[#This Row],[Palvelut yhteensä, €]]+Taulukko8[[#This Row],[Toimintamenot, arvio]]</f>
        <v>198094.47008717619</v>
      </c>
      <c r="T297" s="481">
        <f>(Taulukko8[[#This Row],[Palvelut + toimintamenot]]/$S$6)*$T$1</f>
        <v>208165.16676315054</v>
      </c>
      <c r="U297" s="483">
        <f>Taulukko8[[#This Row],[Palvelut + toimintamenot, skaalattu siirtyvän rahoituksen tasoon]]*0.5</f>
        <v>104082.58338157527</v>
      </c>
    </row>
    <row r="298" spans="1:21">
      <c r="A298" s="474">
        <v>989</v>
      </c>
      <c r="B298" s="474" t="s">
        <v>303</v>
      </c>
      <c r="C298" s="459">
        <v>5406</v>
      </c>
      <c r="D298" s="459">
        <v>2202</v>
      </c>
      <c r="E298" s="459">
        <v>144</v>
      </c>
      <c r="F298" s="459">
        <v>55605</v>
      </c>
      <c r="G298" s="459">
        <v>34268.538834328436</v>
      </c>
      <c r="H298" s="459">
        <v>20561.123300597061</v>
      </c>
      <c r="I298" s="459">
        <v>55842.045661514421</v>
      </c>
      <c r="J298" s="459">
        <v>43022.849840637449</v>
      </c>
      <c r="K298" s="459">
        <v>1909.521573155331</v>
      </c>
      <c r="L298" s="459">
        <v>72361.95</v>
      </c>
      <c r="M298" s="459">
        <v>6092.58</v>
      </c>
      <c r="N298" s="459">
        <v>99662.27</v>
      </c>
      <c r="O298" s="473">
        <f>SUM(Taulukko8[[#This Row],[Muiden kuin pakolaisten osuus kotoutumiskoulutuksista,  €]:[Palkkatuki, yksityinen, €]])</f>
        <v>299452.34037590423</v>
      </c>
      <c r="P298" s="459">
        <f>Taulukko8[[#This Row],[Palvelut yhteensä, €]]/Taulukko8[[#This Row],[Työttömät 2022]]</f>
        <v>2079.5301414993351</v>
      </c>
      <c r="Q298" s="473">
        <v>196508.1872195265</v>
      </c>
      <c r="R298" s="459">
        <f>Taulukko8[[#This Row],[Toimintamenot, arvio]]/Taulukko8[[#This Row],[Työttömät 2022]]</f>
        <v>1364.6401890244897</v>
      </c>
      <c r="S298" s="473">
        <f>Taulukko8[[#This Row],[Palvelut yhteensä, €]]+Taulukko8[[#This Row],[Toimintamenot, arvio]]</f>
        <v>495960.52759543073</v>
      </c>
      <c r="T298" s="481">
        <f>(Taulukko8[[#This Row],[Palvelut + toimintamenot]]/$S$6)*$T$1</f>
        <v>521174.09380185616</v>
      </c>
      <c r="U298" s="483">
        <f>Taulukko8[[#This Row],[Palvelut + toimintamenot, skaalattu siirtyvän rahoituksen tasoon]]*0.5</f>
        <v>260587.04690092808</v>
      </c>
    </row>
    <row r="299" spans="1:21">
      <c r="A299" s="474">
        <v>992</v>
      </c>
      <c r="B299" s="474" t="s">
        <v>304</v>
      </c>
      <c r="C299" s="459">
        <v>18120</v>
      </c>
      <c r="D299" s="459">
        <v>7792</v>
      </c>
      <c r="E299" s="459">
        <v>949</v>
      </c>
      <c r="F299" s="459">
        <v>314044</v>
      </c>
      <c r="G299" s="459">
        <v>46564.319280580436</v>
      </c>
      <c r="H299" s="459">
        <v>27938.59156834826</v>
      </c>
      <c r="I299" s="459">
        <v>161398.58336478521</v>
      </c>
      <c r="J299" s="459">
        <v>41656.00825991189</v>
      </c>
      <c r="K299" s="459">
        <v>11471.69116146124</v>
      </c>
      <c r="L299" s="459">
        <v>898595.2</v>
      </c>
      <c r="M299" s="459">
        <v>60903.92</v>
      </c>
      <c r="N299" s="459">
        <v>965773.6</v>
      </c>
      <c r="O299" s="473">
        <f>SUM(Taulukko8[[#This Row],[Muiden kuin pakolaisten osuus kotoutumiskoulutuksista,  €]:[Palkkatuki, yksityinen, €]])</f>
        <v>2167737.5943545066</v>
      </c>
      <c r="P299" s="459">
        <f>Taulukko8[[#This Row],[Palvelut yhteensä, €]]/Taulukko8[[#This Row],[Työttömät 2022]]</f>
        <v>2284.2335030079098</v>
      </c>
      <c r="Q299" s="473">
        <v>906489.73834802443</v>
      </c>
      <c r="R299" s="459">
        <f>Taulukko8[[#This Row],[Toimintamenot, arvio]]/Taulukko8[[#This Row],[Työttömät 2022]]</f>
        <v>955.20520373869806</v>
      </c>
      <c r="S299" s="473">
        <f>Taulukko8[[#This Row],[Palvelut yhteensä, €]]+Taulukko8[[#This Row],[Toimintamenot, arvio]]</f>
        <v>3074227.332702531</v>
      </c>
      <c r="T299" s="481">
        <f>(Taulukko8[[#This Row],[Palvelut + toimintamenot]]/$S$6)*$T$1</f>
        <v>3230514.436360762</v>
      </c>
      <c r="U299" s="483">
        <f>Taulukko8[[#This Row],[Palvelut + toimintamenot, skaalattu siirtyvän rahoituksen tasoon]]*0.5</f>
        <v>1615257.218180381</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04"/>
  <sheetViews>
    <sheetView zoomScale="90" zoomScaleNormal="90" workbookViewId="0"/>
  </sheetViews>
  <sheetFormatPr defaultRowHeight="14.25"/>
  <cols>
    <col min="1" max="1" width="10.5" customWidth="1"/>
    <col min="2" max="2" width="14.25" bestFit="1" customWidth="1"/>
    <col min="3" max="7" width="15.625" customWidth="1"/>
    <col min="8" max="8" width="12.375" customWidth="1"/>
    <col min="9" max="9" width="15.375" customWidth="1"/>
  </cols>
  <sheetData>
    <row r="1" spans="1:10" ht="23.25">
      <c r="A1" s="314" t="s">
        <v>877</v>
      </c>
    </row>
    <row r="2" spans="1:10">
      <c r="A2" s="450" t="s">
        <v>888</v>
      </c>
      <c r="H2" s="103"/>
    </row>
    <row r="3" spans="1:10">
      <c r="A3" s="451" t="s">
        <v>889</v>
      </c>
      <c r="H3" s="103"/>
    </row>
    <row r="4" spans="1:10">
      <c r="A4" s="451" t="s">
        <v>898</v>
      </c>
    </row>
    <row r="5" spans="1:10">
      <c r="A5" s="451" t="s">
        <v>903</v>
      </c>
    </row>
    <row r="6" spans="1:10">
      <c r="A6" s="451" t="s">
        <v>901</v>
      </c>
    </row>
    <row r="7" spans="1:10">
      <c r="A7" s="451" t="s">
        <v>902</v>
      </c>
    </row>
    <row r="8" spans="1:10">
      <c r="A8" s="451" t="s">
        <v>904</v>
      </c>
    </row>
    <row r="9" spans="1:10">
      <c r="J9" s="452"/>
    </row>
    <row r="10" spans="1:10" ht="51">
      <c r="A10" s="453" t="s">
        <v>890</v>
      </c>
      <c r="B10" s="453" t="s">
        <v>3</v>
      </c>
      <c r="C10" s="453" t="s">
        <v>899</v>
      </c>
      <c r="D10" s="453" t="s">
        <v>892</v>
      </c>
      <c r="E10" s="453" t="s">
        <v>893</v>
      </c>
      <c r="F10" s="453" t="s">
        <v>894</v>
      </c>
      <c r="G10" s="453" t="s">
        <v>895</v>
      </c>
      <c r="H10" s="453" t="s">
        <v>896</v>
      </c>
      <c r="I10" s="453" t="s">
        <v>900</v>
      </c>
    </row>
    <row r="11" spans="1:10">
      <c r="A11" s="454"/>
      <c r="B11" s="454" t="s">
        <v>897</v>
      </c>
      <c r="C11" s="455">
        <f t="shared" ref="C11:I11" si="0">SUM(C12:C304)</f>
        <v>5573310</v>
      </c>
      <c r="D11" s="455">
        <f t="shared" si="0"/>
        <v>478982410.46999967</v>
      </c>
      <c r="E11" s="455">
        <f t="shared" si="0"/>
        <v>591403832.23150015</v>
      </c>
      <c r="F11" s="455">
        <f t="shared" si="0"/>
        <v>24325676.198999982</v>
      </c>
      <c r="G11" s="455">
        <f t="shared" si="0"/>
        <v>79333917.627345026</v>
      </c>
      <c r="H11" s="455">
        <f t="shared" si="0"/>
        <v>695063426.05784523</v>
      </c>
      <c r="I11" s="466">
        <f t="shared" si="0"/>
        <v>216081015.58784497</v>
      </c>
    </row>
    <row r="12" spans="1:10">
      <c r="A12" s="456">
        <v>5</v>
      </c>
      <c r="B12" s="456" t="s">
        <v>12</v>
      </c>
      <c r="C12" s="457">
        <v>9113</v>
      </c>
      <c r="D12" s="458">
        <v>272082.18</v>
      </c>
      <c r="E12" s="458">
        <v>452532.7145</v>
      </c>
      <c r="F12" s="458">
        <v>26031.342000000001</v>
      </c>
      <c r="G12" s="458">
        <v>110278.69402561701</v>
      </c>
      <c r="H12" s="459">
        <f>SUM(Taulukko9[[#This Row],[Uudistuksten mukainen osuus työmarkkinatuesta]:[Uudistuksen mukainen osuus ansiopäivärahasta]])</f>
        <v>588842.75052561704</v>
      </c>
      <c r="I12" s="467">
        <f>Taulukko9[[#This Row],[Uudistuksen mukainen rahoitusvastuu yhteensä]]-Taulukko9[[#This Row],[Nykytila, kuntien osuus työmarkkinatuesta]]</f>
        <v>316760.57052561705</v>
      </c>
    </row>
    <row r="13" spans="1:10">
      <c r="A13" s="456">
        <v>9</v>
      </c>
      <c r="B13" s="456" t="s">
        <v>13</v>
      </c>
      <c r="C13" s="457">
        <v>2437</v>
      </c>
      <c r="D13" s="458">
        <v>90687.96</v>
      </c>
      <c r="E13" s="458">
        <v>121309.3115</v>
      </c>
      <c r="F13" s="458">
        <v>14230.047</v>
      </c>
      <c r="G13" s="458">
        <v>31178.224949555901</v>
      </c>
      <c r="H13" s="459">
        <f>SUM(Taulukko9[[#This Row],[Uudistuksten mukainen osuus työmarkkinatuesta]:[Uudistuksen mukainen osuus ansiopäivärahasta]])</f>
        <v>166717.58344955591</v>
      </c>
      <c r="I13" s="467">
        <f>Taulukko9[[#This Row],[Uudistuksen mukainen rahoitusvastuu yhteensä]]-Taulukko9[[#This Row],[Nykytila, kuntien osuus työmarkkinatuesta]]</f>
        <v>76029.623449555904</v>
      </c>
    </row>
    <row r="14" spans="1:10">
      <c r="A14" s="456">
        <v>10</v>
      </c>
      <c r="B14" s="456" t="s">
        <v>14</v>
      </c>
      <c r="C14" s="457">
        <v>10933</v>
      </c>
      <c r="D14" s="458">
        <v>355483.19</v>
      </c>
      <c r="E14" s="458">
        <v>740956.62700000009</v>
      </c>
      <c r="F14" s="458">
        <v>48479.925000000003</v>
      </c>
      <c r="G14" s="458">
        <v>100256.254807448</v>
      </c>
      <c r="H14" s="459">
        <f>SUM(Taulukko9[[#This Row],[Uudistuksten mukainen osuus työmarkkinatuesta]:[Uudistuksen mukainen osuus ansiopäivärahasta]])</f>
        <v>889692.80680744816</v>
      </c>
      <c r="I14" s="467">
        <f>Taulukko9[[#This Row],[Uudistuksen mukainen rahoitusvastuu yhteensä]]-Taulukko9[[#This Row],[Nykytila, kuntien osuus työmarkkinatuesta]]</f>
        <v>534209.61680744821</v>
      </c>
    </row>
    <row r="15" spans="1:10">
      <c r="A15" s="456">
        <v>16</v>
      </c>
      <c r="B15" s="456" t="s">
        <v>15</v>
      </c>
      <c r="C15" s="457">
        <v>7968</v>
      </c>
      <c r="D15" s="458">
        <v>414385.79</v>
      </c>
      <c r="E15" s="458">
        <v>556465.52300000004</v>
      </c>
      <c r="F15" s="458">
        <v>32343.514999999999</v>
      </c>
      <c r="G15" s="458">
        <v>120106.580237653</v>
      </c>
      <c r="H15" s="459">
        <f>SUM(Taulukko9[[#This Row],[Uudistuksten mukainen osuus työmarkkinatuesta]:[Uudistuksen mukainen osuus ansiopäivärahasta]])</f>
        <v>708915.61823765305</v>
      </c>
      <c r="I15" s="467">
        <f>Taulukko9[[#This Row],[Uudistuksen mukainen rahoitusvastuu yhteensä]]-Taulukko9[[#This Row],[Nykytila, kuntien osuus työmarkkinatuesta]]</f>
        <v>294529.82823765307</v>
      </c>
    </row>
    <row r="16" spans="1:10">
      <c r="A16" s="456">
        <v>18</v>
      </c>
      <c r="B16" s="456" t="s">
        <v>16</v>
      </c>
      <c r="C16" s="457">
        <v>4700</v>
      </c>
      <c r="D16" s="458">
        <v>259039.92</v>
      </c>
      <c r="E16" s="458">
        <v>319751.54149999999</v>
      </c>
      <c r="F16" s="458">
        <v>12363.584000000001</v>
      </c>
      <c r="G16" s="458">
        <v>62161.2160712607</v>
      </c>
      <c r="H16" s="459">
        <f>SUM(Taulukko9[[#This Row],[Uudistuksten mukainen osuus työmarkkinatuesta]:[Uudistuksen mukainen osuus ansiopäivärahasta]])</f>
        <v>394276.34157126065</v>
      </c>
      <c r="I16" s="467">
        <f>Taulukko9[[#This Row],[Uudistuksen mukainen rahoitusvastuu yhteensä]]-Taulukko9[[#This Row],[Nykytila, kuntien osuus työmarkkinatuesta]]</f>
        <v>135236.42157126064</v>
      </c>
    </row>
    <row r="17" spans="1:9">
      <c r="A17" s="456">
        <v>19</v>
      </c>
      <c r="B17" s="456" t="s">
        <v>17</v>
      </c>
      <c r="C17" s="457">
        <v>3961</v>
      </c>
      <c r="D17" s="458">
        <v>165467.26</v>
      </c>
      <c r="E17" s="458">
        <v>199064.22350000002</v>
      </c>
      <c r="F17" s="458">
        <v>5854.0540000000001</v>
      </c>
      <c r="G17" s="458">
        <v>37630.0642845525</v>
      </c>
      <c r="H17" s="459">
        <f>SUM(Taulukko9[[#This Row],[Uudistuksten mukainen osuus työmarkkinatuesta]:[Uudistuksen mukainen osuus ansiopäivärahasta]])</f>
        <v>242548.34178455253</v>
      </c>
      <c r="I17" s="467">
        <f>Taulukko9[[#This Row],[Uudistuksen mukainen rahoitusvastuu yhteensä]]-Taulukko9[[#This Row],[Nykytila, kuntien osuus työmarkkinatuesta]]</f>
        <v>77081.081784552516</v>
      </c>
    </row>
    <row r="18" spans="1:9">
      <c r="A18" s="456">
        <v>20</v>
      </c>
      <c r="B18" s="456" t="s">
        <v>18</v>
      </c>
      <c r="C18" s="457">
        <v>16405</v>
      </c>
      <c r="D18" s="458">
        <v>847835.63</v>
      </c>
      <c r="E18" s="458">
        <v>1582603.1894999999</v>
      </c>
      <c r="F18" s="458">
        <v>50300.28</v>
      </c>
      <c r="G18" s="458">
        <v>243402.02447187799</v>
      </c>
      <c r="H18" s="459">
        <f>SUM(Taulukko9[[#This Row],[Uudistuksten mukainen osuus työmarkkinatuesta]:[Uudistuksen mukainen osuus ansiopäivärahasta]])</f>
        <v>1876305.493971878</v>
      </c>
      <c r="I18" s="467">
        <f>Taulukko9[[#This Row],[Uudistuksen mukainen rahoitusvastuu yhteensä]]-Taulukko9[[#This Row],[Nykytila, kuntien osuus työmarkkinatuesta]]</f>
        <v>1028469.863971878</v>
      </c>
    </row>
    <row r="19" spans="1:9">
      <c r="A19" s="456">
        <v>46</v>
      </c>
      <c r="B19" s="456" t="s">
        <v>19</v>
      </c>
      <c r="C19" s="457">
        <v>1320</v>
      </c>
      <c r="D19" s="458">
        <v>105084.29</v>
      </c>
      <c r="E19" s="458">
        <v>117518.88500000001</v>
      </c>
      <c r="F19" s="458">
        <v>6965.7659999999996</v>
      </c>
      <c r="G19" s="458">
        <v>20021.6488646006</v>
      </c>
      <c r="H19" s="459">
        <f>SUM(Taulukko9[[#This Row],[Uudistuksten mukainen osuus työmarkkinatuesta]:[Uudistuksen mukainen osuus ansiopäivärahasta]])</f>
        <v>144506.29986460062</v>
      </c>
      <c r="I19" s="467">
        <f>Taulukko9[[#This Row],[Uudistuksen mukainen rahoitusvastuu yhteensä]]-Taulukko9[[#This Row],[Nykytila, kuntien osuus työmarkkinatuesta]]</f>
        <v>39422.009864600623</v>
      </c>
    </row>
    <row r="20" spans="1:9">
      <c r="A20" s="456">
        <v>47</v>
      </c>
      <c r="B20" s="456" t="s">
        <v>20</v>
      </c>
      <c r="C20" s="457">
        <v>1771</v>
      </c>
      <c r="D20" s="458">
        <v>181362.54</v>
      </c>
      <c r="E20" s="458">
        <v>163573.908</v>
      </c>
      <c r="F20" s="458">
        <v>4810.3860000000004</v>
      </c>
      <c r="G20" s="458">
        <v>57750.545622023201</v>
      </c>
      <c r="H20" s="459">
        <f>SUM(Taulukko9[[#This Row],[Uudistuksten mukainen osuus työmarkkinatuesta]:[Uudistuksen mukainen osuus ansiopäivärahasta]])</f>
        <v>226134.8396220232</v>
      </c>
      <c r="I20" s="467">
        <f>Taulukko9[[#This Row],[Uudistuksen mukainen rahoitusvastuu yhteensä]]-Taulukko9[[#This Row],[Nykytila, kuntien osuus työmarkkinatuesta]]</f>
        <v>44772.299622023187</v>
      </c>
    </row>
    <row r="21" spans="1:9">
      <c r="A21" s="456">
        <v>49</v>
      </c>
      <c r="B21" s="456" t="s">
        <v>21</v>
      </c>
      <c r="C21" s="457">
        <v>314024</v>
      </c>
      <c r="D21" s="458">
        <v>29188593.760000002</v>
      </c>
      <c r="E21" s="458">
        <v>33632627.175999999</v>
      </c>
      <c r="F21" s="458">
        <v>1322760.139</v>
      </c>
      <c r="G21" s="458">
        <v>3234844.7543743299</v>
      </c>
      <c r="H21" s="459">
        <f>SUM(Taulukko9[[#This Row],[Uudistuksten mukainen osuus työmarkkinatuesta]:[Uudistuksen mukainen osuus ansiopäivärahasta]])</f>
        <v>38190232.06937433</v>
      </c>
      <c r="I21" s="467">
        <f>Taulukko9[[#This Row],[Uudistuksen mukainen rahoitusvastuu yhteensä]]-Taulukko9[[#This Row],[Nykytila, kuntien osuus työmarkkinatuesta]]</f>
        <v>9001638.3093743287</v>
      </c>
    </row>
    <row r="22" spans="1:9">
      <c r="A22" s="456">
        <v>50</v>
      </c>
      <c r="B22" s="456" t="s">
        <v>22</v>
      </c>
      <c r="C22" s="457">
        <v>11184</v>
      </c>
      <c r="D22" s="458">
        <v>556774.9</v>
      </c>
      <c r="E22" s="458">
        <v>710234.91149999993</v>
      </c>
      <c r="F22" s="458">
        <v>32156.766</v>
      </c>
      <c r="G22" s="458">
        <v>110196.450782379</v>
      </c>
      <c r="H22" s="459">
        <f>SUM(Taulukko9[[#This Row],[Uudistuksten mukainen osuus työmarkkinatuesta]:[Uudistuksen mukainen osuus ansiopäivärahasta]])</f>
        <v>852588.12828237889</v>
      </c>
      <c r="I22" s="467">
        <f>Taulukko9[[#This Row],[Uudistuksen mukainen rahoitusvastuu yhteensä]]-Taulukko9[[#This Row],[Nykytila, kuntien osuus työmarkkinatuesta]]</f>
        <v>295813.22828237887</v>
      </c>
    </row>
    <row r="23" spans="1:9">
      <c r="A23" s="456">
        <v>51</v>
      </c>
      <c r="B23" s="456" t="s">
        <v>23</v>
      </c>
      <c r="C23" s="457">
        <v>9143</v>
      </c>
      <c r="D23" s="458">
        <v>334235.81</v>
      </c>
      <c r="E23" s="458">
        <v>482994.9705</v>
      </c>
      <c r="F23" s="458">
        <v>19638.681</v>
      </c>
      <c r="G23" s="458">
        <v>95365.317687388801</v>
      </c>
      <c r="H23" s="459">
        <f>SUM(Taulukko9[[#This Row],[Uudistuksten mukainen osuus työmarkkinatuesta]:[Uudistuksen mukainen osuus ansiopäivärahasta]])</f>
        <v>597998.96918738878</v>
      </c>
      <c r="I23" s="467">
        <f>Taulukko9[[#This Row],[Uudistuksen mukainen rahoitusvastuu yhteensä]]-Taulukko9[[#This Row],[Nykytila, kuntien osuus työmarkkinatuesta]]</f>
        <v>263763.15918738878</v>
      </c>
    </row>
    <row r="24" spans="1:9">
      <c r="A24" s="456">
        <v>52</v>
      </c>
      <c r="B24" s="456" t="s">
        <v>24</v>
      </c>
      <c r="C24" s="457">
        <v>2292</v>
      </c>
      <c r="D24" s="458">
        <v>24103.34</v>
      </c>
      <c r="E24" s="458">
        <v>65932.213499999998</v>
      </c>
      <c r="F24" s="458">
        <v>1412.604</v>
      </c>
      <c r="G24" s="458">
        <v>22453.975146518002</v>
      </c>
      <c r="H24" s="459">
        <f>SUM(Taulukko9[[#This Row],[Uudistuksten mukainen osuus työmarkkinatuesta]:[Uudistuksen mukainen osuus ansiopäivärahasta]])</f>
        <v>89798.792646518006</v>
      </c>
      <c r="I24" s="467">
        <f>Taulukko9[[#This Row],[Uudistuksen mukainen rahoitusvastuu yhteensä]]-Taulukko9[[#This Row],[Nykytila, kuntien osuus työmarkkinatuesta]]</f>
        <v>65695.45264651801</v>
      </c>
    </row>
    <row r="25" spans="1:9">
      <c r="A25" s="456">
        <v>61</v>
      </c>
      <c r="B25" s="456" t="s">
        <v>25</v>
      </c>
      <c r="C25" s="457">
        <v>16469</v>
      </c>
      <c r="D25" s="458">
        <v>800604.47</v>
      </c>
      <c r="E25" s="458">
        <v>1739154.1205</v>
      </c>
      <c r="F25" s="458">
        <v>65945.289999999994</v>
      </c>
      <c r="G25" s="458">
        <v>306197.005801172</v>
      </c>
      <c r="H25" s="459">
        <f>SUM(Taulukko9[[#This Row],[Uudistuksten mukainen osuus työmarkkinatuesta]:[Uudistuksen mukainen osuus ansiopäivärahasta]])</f>
        <v>2111296.4163011722</v>
      </c>
      <c r="I25" s="467">
        <f>Taulukko9[[#This Row],[Uudistuksen mukainen rahoitusvastuu yhteensä]]-Taulukko9[[#This Row],[Nykytila, kuntien osuus työmarkkinatuesta]]</f>
        <v>1310691.9463011723</v>
      </c>
    </row>
    <row r="26" spans="1:9">
      <c r="A26" s="456">
        <v>69</v>
      </c>
      <c r="B26" s="456" t="s">
        <v>26</v>
      </c>
      <c r="C26" s="457">
        <v>6558</v>
      </c>
      <c r="D26" s="458">
        <v>346789.1</v>
      </c>
      <c r="E26" s="458">
        <v>471432.93</v>
      </c>
      <c r="F26" s="458">
        <v>24987.717000000001</v>
      </c>
      <c r="G26" s="458">
        <v>75745.660614843306</v>
      </c>
      <c r="H26" s="459">
        <f>SUM(Taulukko9[[#This Row],[Uudistuksten mukainen osuus työmarkkinatuesta]:[Uudistuksen mukainen osuus ansiopäivärahasta]])</f>
        <v>572166.30761484336</v>
      </c>
      <c r="I26" s="467">
        <f>Taulukko9[[#This Row],[Uudistuksen mukainen rahoitusvastuu yhteensä]]-Taulukko9[[#This Row],[Nykytila, kuntien osuus työmarkkinatuesta]]</f>
        <v>225377.20761484338</v>
      </c>
    </row>
    <row r="27" spans="1:9">
      <c r="A27" s="456">
        <v>71</v>
      </c>
      <c r="B27" s="456" t="s">
        <v>27</v>
      </c>
      <c r="C27" s="457">
        <v>6473</v>
      </c>
      <c r="D27" s="458">
        <v>269800.99</v>
      </c>
      <c r="E27" s="458">
        <v>389724.02949999995</v>
      </c>
      <c r="F27" s="458">
        <v>27679.145</v>
      </c>
      <c r="G27" s="458">
        <v>68450.876165450507</v>
      </c>
      <c r="H27" s="459">
        <f>SUM(Taulukko9[[#This Row],[Uudistuksten mukainen osuus työmarkkinatuesta]:[Uudistuksen mukainen osuus ansiopäivärahasta]])</f>
        <v>485854.05066545046</v>
      </c>
      <c r="I27" s="467">
        <f>Taulukko9[[#This Row],[Uudistuksen mukainen rahoitusvastuu yhteensä]]-Taulukko9[[#This Row],[Nykytila, kuntien osuus työmarkkinatuesta]]</f>
        <v>216053.06066545047</v>
      </c>
    </row>
    <row r="28" spans="1:9">
      <c r="A28" s="456">
        <v>72</v>
      </c>
      <c r="B28" s="456" t="s">
        <v>28</v>
      </c>
      <c r="C28" s="457">
        <v>948</v>
      </c>
      <c r="D28" s="458">
        <v>40497.839999999997</v>
      </c>
      <c r="E28" s="458">
        <v>53014.722999999998</v>
      </c>
      <c r="F28" s="458">
        <v>7305.6480000000001</v>
      </c>
      <c r="G28" s="458">
        <v>18721.622724807999</v>
      </c>
      <c r="H28" s="459">
        <f>SUM(Taulukko9[[#This Row],[Uudistuksten mukainen osuus työmarkkinatuesta]:[Uudistuksen mukainen osuus ansiopäivärahasta]])</f>
        <v>79041.993724807995</v>
      </c>
      <c r="I28" s="467">
        <f>Taulukko9[[#This Row],[Uudistuksen mukainen rahoitusvastuu yhteensä]]-Taulukko9[[#This Row],[Nykytila, kuntien osuus työmarkkinatuesta]]</f>
        <v>38544.153724807999</v>
      </c>
    </row>
    <row r="29" spans="1:9">
      <c r="A29" s="456">
        <v>74</v>
      </c>
      <c r="B29" s="456" t="s">
        <v>29</v>
      </c>
      <c r="C29" s="457">
        <v>1013</v>
      </c>
      <c r="D29" s="458">
        <v>50285.54</v>
      </c>
      <c r="E29" s="458">
        <v>54043.273000000001</v>
      </c>
      <c r="F29" s="458">
        <v>416.75200000000001</v>
      </c>
      <c r="G29" s="458">
        <v>9353.0345718019307</v>
      </c>
      <c r="H29" s="459">
        <f>SUM(Taulukko9[[#This Row],[Uudistuksten mukainen osuus työmarkkinatuesta]:[Uudistuksen mukainen osuus ansiopäivärahasta]])</f>
        <v>63813.059571801932</v>
      </c>
      <c r="I29" s="467">
        <f>Taulukko9[[#This Row],[Uudistuksen mukainen rahoitusvastuu yhteensä]]-Taulukko9[[#This Row],[Nykytila, kuntien osuus työmarkkinatuesta]]</f>
        <v>13527.519571801931</v>
      </c>
    </row>
    <row r="30" spans="1:9">
      <c r="A30" s="456">
        <v>75</v>
      </c>
      <c r="B30" s="456" t="s">
        <v>30</v>
      </c>
      <c r="C30" s="457">
        <v>19534</v>
      </c>
      <c r="D30" s="458">
        <v>1627199.11</v>
      </c>
      <c r="E30" s="458">
        <v>2016561.9339999999</v>
      </c>
      <c r="F30" s="458">
        <v>87165.508000000002</v>
      </c>
      <c r="G30" s="458">
        <v>421925.58664475102</v>
      </c>
      <c r="H30" s="459">
        <f>SUM(Taulukko9[[#This Row],[Uudistuksten mukainen osuus työmarkkinatuesta]:[Uudistuksen mukainen osuus ansiopäivärahasta]])</f>
        <v>2525653.0286447508</v>
      </c>
      <c r="I30" s="467">
        <f>Taulukko9[[#This Row],[Uudistuksen mukainen rahoitusvastuu yhteensä]]-Taulukko9[[#This Row],[Nykytila, kuntien osuus työmarkkinatuesta]]</f>
        <v>898453.91864475072</v>
      </c>
    </row>
    <row r="31" spans="1:9">
      <c r="A31" s="456">
        <v>77</v>
      </c>
      <c r="B31" s="456" t="s">
        <v>31</v>
      </c>
      <c r="C31" s="457">
        <v>4549</v>
      </c>
      <c r="D31" s="458">
        <v>277254.27</v>
      </c>
      <c r="E31" s="458">
        <v>387999.272</v>
      </c>
      <c r="F31" s="458">
        <v>16124.112999999999</v>
      </c>
      <c r="G31" s="458">
        <v>80189.180873331003</v>
      </c>
      <c r="H31" s="459">
        <f>SUM(Taulukko9[[#This Row],[Uudistuksten mukainen osuus työmarkkinatuesta]:[Uudistuksen mukainen osuus ansiopäivärahasta]])</f>
        <v>484312.56587333104</v>
      </c>
      <c r="I31" s="467">
        <f>Taulukko9[[#This Row],[Uudistuksen mukainen rahoitusvastuu yhteensä]]-Taulukko9[[#This Row],[Nykytila, kuntien osuus työmarkkinatuesta]]</f>
        <v>207058.29587333102</v>
      </c>
    </row>
    <row r="32" spans="1:9">
      <c r="A32" s="456">
        <v>78</v>
      </c>
      <c r="B32" s="456" t="s">
        <v>32</v>
      </c>
      <c r="C32" s="457">
        <v>7721</v>
      </c>
      <c r="D32" s="458">
        <v>834977.57</v>
      </c>
      <c r="E32" s="458">
        <v>1038468.0825</v>
      </c>
      <c r="F32" s="458">
        <v>24417.552</v>
      </c>
      <c r="G32" s="458">
        <v>101812.338198257</v>
      </c>
      <c r="H32" s="459">
        <f>SUM(Taulukko9[[#This Row],[Uudistuksten mukainen osuus työmarkkinatuesta]:[Uudistuksen mukainen osuus ansiopäivärahasta]])</f>
        <v>1164697.9726982568</v>
      </c>
      <c r="I32" s="467">
        <f>Taulukko9[[#This Row],[Uudistuksen mukainen rahoitusvastuu yhteensä]]-Taulukko9[[#This Row],[Nykytila, kuntien osuus työmarkkinatuesta]]</f>
        <v>329720.40269825689</v>
      </c>
    </row>
    <row r="33" spans="1:9">
      <c r="A33" s="456">
        <v>79</v>
      </c>
      <c r="B33" s="456" t="s">
        <v>33</v>
      </c>
      <c r="C33" s="457">
        <v>6703</v>
      </c>
      <c r="D33" s="458">
        <v>575366.51</v>
      </c>
      <c r="E33" s="458">
        <v>878108.27450000006</v>
      </c>
      <c r="F33" s="458">
        <v>24912.278999999999</v>
      </c>
      <c r="G33" s="458">
        <v>77685.699912199198</v>
      </c>
      <c r="H33" s="459">
        <f>SUM(Taulukko9[[#This Row],[Uudistuksten mukainen osuus työmarkkinatuesta]:[Uudistuksen mukainen osuus ansiopäivärahasta]])</f>
        <v>980706.25341219921</v>
      </c>
      <c r="I33" s="467">
        <f>Taulukko9[[#This Row],[Uudistuksen mukainen rahoitusvastuu yhteensä]]-Taulukko9[[#This Row],[Nykytila, kuntien osuus työmarkkinatuesta]]</f>
        <v>405339.7434121992</v>
      </c>
    </row>
    <row r="34" spans="1:9">
      <c r="A34" s="456">
        <v>81</v>
      </c>
      <c r="B34" s="456" t="s">
        <v>34</v>
      </c>
      <c r="C34" s="457">
        <v>2531</v>
      </c>
      <c r="D34" s="458">
        <v>143238.32999999999</v>
      </c>
      <c r="E34" s="458">
        <v>206567.64500000002</v>
      </c>
      <c r="F34" s="458">
        <v>17738.434000000001</v>
      </c>
      <c r="G34" s="458">
        <v>37292.850740016198</v>
      </c>
      <c r="H34" s="459">
        <f>SUM(Taulukko9[[#This Row],[Uudistuksten mukainen osuus työmarkkinatuesta]:[Uudistuksen mukainen osuus ansiopäivärahasta]])</f>
        <v>261598.92974001623</v>
      </c>
      <c r="I34" s="467">
        <f>Taulukko9[[#This Row],[Uudistuksen mukainen rahoitusvastuu yhteensä]]-Taulukko9[[#This Row],[Nykytila, kuntien osuus työmarkkinatuesta]]</f>
        <v>118360.59974001625</v>
      </c>
    </row>
    <row r="35" spans="1:9">
      <c r="A35" s="456">
        <v>82</v>
      </c>
      <c r="B35" s="456" t="s">
        <v>35</v>
      </c>
      <c r="C35" s="457">
        <v>9371</v>
      </c>
      <c r="D35" s="458">
        <v>368071.97</v>
      </c>
      <c r="E35" s="458">
        <v>493967.96950000001</v>
      </c>
      <c r="F35" s="458">
        <v>15932.959000000001</v>
      </c>
      <c r="G35" s="458">
        <v>94070.381612722296</v>
      </c>
      <c r="H35" s="459">
        <f>SUM(Taulukko9[[#This Row],[Uudistuksten mukainen osuus työmarkkinatuesta]:[Uudistuksen mukainen osuus ansiopäivärahasta]])</f>
        <v>603971.31011272222</v>
      </c>
      <c r="I35" s="467">
        <f>Taulukko9[[#This Row],[Uudistuksen mukainen rahoitusvastuu yhteensä]]-Taulukko9[[#This Row],[Nykytila, kuntien osuus työmarkkinatuesta]]</f>
        <v>235899.34011272225</v>
      </c>
    </row>
    <row r="36" spans="1:9">
      <c r="A36" s="456">
        <v>86</v>
      </c>
      <c r="B36" s="456" t="s">
        <v>36</v>
      </c>
      <c r="C36" s="457">
        <v>7998</v>
      </c>
      <c r="D36" s="458">
        <v>199880.57</v>
      </c>
      <c r="E36" s="458">
        <v>480727.29200000002</v>
      </c>
      <c r="F36" s="458">
        <v>32640.988000000001</v>
      </c>
      <c r="G36" s="458">
        <v>115596.46827694299</v>
      </c>
      <c r="H36" s="459">
        <f>SUM(Taulukko9[[#This Row],[Uudistuksten mukainen osuus työmarkkinatuesta]:[Uudistuksen mukainen osuus ansiopäivärahasta]])</f>
        <v>628964.74827694299</v>
      </c>
      <c r="I36" s="467">
        <f>Taulukko9[[#This Row],[Uudistuksen mukainen rahoitusvastuu yhteensä]]-Taulukko9[[#This Row],[Nykytila, kuntien osuus työmarkkinatuesta]]</f>
        <v>429084.17827694298</v>
      </c>
    </row>
    <row r="37" spans="1:9">
      <c r="A37" s="456">
        <v>90</v>
      </c>
      <c r="B37" s="456" t="s">
        <v>37</v>
      </c>
      <c r="C37" s="457">
        <v>3001</v>
      </c>
      <c r="D37" s="458">
        <v>222542.47</v>
      </c>
      <c r="E37" s="458">
        <v>294225.1165</v>
      </c>
      <c r="F37" s="458">
        <v>15098.24</v>
      </c>
      <c r="G37" s="458">
        <v>70901.755454146696</v>
      </c>
      <c r="H37" s="459">
        <f>SUM(Taulukko9[[#This Row],[Uudistuksten mukainen osuus työmarkkinatuesta]:[Uudistuksen mukainen osuus ansiopäivärahasta]])</f>
        <v>380225.11195414671</v>
      </c>
      <c r="I37" s="467">
        <f>Taulukko9[[#This Row],[Uudistuksen mukainen rahoitusvastuu yhteensä]]-Taulukko9[[#This Row],[Nykytila, kuntien osuus työmarkkinatuesta]]</f>
        <v>157682.6419541467</v>
      </c>
    </row>
    <row r="38" spans="1:9">
      <c r="A38" s="456">
        <v>91</v>
      </c>
      <c r="B38" s="456" t="s">
        <v>38</v>
      </c>
      <c r="C38" s="457">
        <v>674500</v>
      </c>
      <c r="D38" s="458">
        <v>89147887.530000001</v>
      </c>
      <c r="E38" s="458">
        <v>94035048.919499993</v>
      </c>
      <c r="F38" s="458">
        <v>3539940.4550000001</v>
      </c>
      <c r="G38" s="458">
        <v>8922332.3157640193</v>
      </c>
      <c r="H38" s="459">
        <f>SUM(Taulukko9[[#This Row],[Uudistuksten mukainen osuus työmarkkinatuesta]:[Uudistuksen mukainen osuus ansiopäivärahasta]])</f>
        <v>106497321.69026402</v>
      </c>
      <c r="I38" s="467">
        <f>Taulukko9[[#This Row],[Uudistuksen mukainen rahoitusvastuu yhteensä]]-Taulukko9[[#This Row],[Nykytila, kuntien osuus työmarkkinatuesta]]</f>
        <v>17349434.160264015</v>
      </c>
    </row>
    <row r="39" spans="1:9">
      <c r="A39" s="456">
        <v>92</v>
      </c>
      <c r="B39" s="456" t="s">
        <v>39</v>
      </c>
      <c r="C39" s="457">
        <v>247443</v>
      </c>
      <c r="D39" s="458">
        <v>29193759.960000001</v>
      </c>
      <c r="E39" s="458">
        <v>34892619.906000003</v>
      </c>
      <c r="F39" s="458">
        <v>1363121.0460000001</v>
      </c>
      <c r="G39" s="458">
        <v>3103993.1959998002</v>
      </c>
      <c r="H39" s="459">
        <f>SUM(Taulukko9[[#This Row],[Uudistuksten mukainen osuus työmarkkinatuesta]:[Uudistuksen mukainen osuus ansiopäivärahasta]])</f>
        <v>39359734.147999808</v>
      </c>
      <c r="I39" s="467">
        <f>Taulukko9[[#This Row],[Uudistuksen mukainen rahoitusvastuu yhteensä]]-Taulukko9[[#This Row],[Nykytila, kuntien osuus työmarkkinatuesta]]</f>
        <v>10165974.187999807</v>
      </c>
    </row>
    <row r="40" spans="1:9">
      <c r="A40" s="456">
        <v>97</v>
      </c>
      <c r="B40" s="456" t="s">
        <v>40</v>
      </c>
      <c r="C40" s="457">
        <v>2062</v>
      </c>
      <c r="D40" s="458">
        <v>122630.54</v>
      </c>
      <c r="E40" s="458">
        <v>142042.33000000002</v>
      </c>
      <c r="F40" s="458">
        <v>12220.28</v>
      </c>
      <c r="G40" s="458">
        <v>39505.746863066001</v>
      </c>
      <c r="H40" s="459">
        <f>SUM(Taulukko9[[#This Row],[Uudistuksten mukainen osuus työmarkkinatuesta]:[Uudistuksen mukainen osuus ansiopäivärahasta]])</f>
        <v>193768.35686306603</v>
      </c>
      <c r="I40" s="467">
        <f>Taulukko9[[#This Row],[Uudistuksen mukainen rahoitusvastuu yhteensä]]-Taulukko9[[#This Row],[Nykytila, kuntien osuus työmarkkinatuesta]]</f>
        <v>71137.816863066037</v>
      </c>
    </row>
    <row r="41" spans="1:9">
      <c r="A41" s="456">
        <v>98</v>
      </c>
      <c r="B41" s="456" t="s">
        <v>41</v>
      </c>
      <c r="C41" s="457">
        <v>22885</v>
      </c>
      <c r="D41" s="458">
        <v>1206970.95</v>
      </c>
      <c r="E41" s="458">
        <v>1434692.3730000001</v>
      </c>
      <c r="F41" s="458">
        <v>101220.36900000001</v>
      </c>
      <c r="G41" s="458">
        <v>392335.61061503098</v>
      </c>
      <c r="H41" s="459">
        <f>SUM(Taulukko9[[#This Row],[Uudistuksten mukainen osuus työmarkkinatuesta]:[Uudistuksen mukainen osuus ansiopäivärahasta]])</f>
        <v>1928248.3526150309</v>
      </c>
      <c r="I41" s="467">
        <f>Taulukko9[[#This Row],[Uudistuksen mukainen rahoitusvastuu yhteensä]]-Taulukko9[[#This Row],[Nykytila, kuntien osuus työmarkkinatuesta]]</f>
        <v>721277.40261503099</v>
      </c>
    </row>
    <row r="42" spans="1:9">
      <c r="A42" s="456">
        <v>102</v>
      </c>
      <c r="B42" s="456" t="s">
        <v>42</v>
      </c>
      <c r="C42" s="457">
        <v>9646</v>
      </c>
      <c r="D42" s="458">
        <v>347410.4</v>
      </c>
      <c r="E42" s="458">
        <v>748465.09600000002</v>
      </c>
      <c r="F42" s="458">
        <v>26051.142</v>
      </c>
      <c r="G42" s="458">
        <v>114520.298679404</v>
      </c>
      <c r="H42" s="459">
        <f>SUM(Taulukko9[[#This Row],[Uudistuksten mukainen osuus työmarkkinatuesta]:[Uudistuksen mukainen osuus ansiopäivärahasta]])</f>
        <v>889036.53667940397</v>
      </c>
      <c r="I42" s="467">
        <f>Taulukko9[[#This Row],[Uudistuksen mukainen rahoitusvastuu yhteensä]]-Taulukko9[[#This Row],[Nykytila, kuntien osuus työmarkkinatuesta]]</f>
        <v>541626.13667940395</v>
      </c>
    </row>
    <row r="43" spans="1:9">
      <c r="A43" s="456">
        <v>103</v>
      </c>
      <c r="B43" s="456" t="s">
        <v>43</v>
      </c>
      <c r="C43" s="457">
        <v>2125</v>
      </c>
      <c r="D43" s="458">
        <v>145204.24</v>
      </c>
      <c r="E43" s="458">
        <v>226024.02600000001</v>
      </c>
      <c r="F43" s="458">
        <v>4419.6019999999999</v>
      </c>
      <c r="G43" s="458">
        <v>35131.863682639203</v>
      </c>
      <c r="H43" s="459">
        <f>SUM(Taulukko9[[#This Row],[Uudistuksten mukainen osuus työmarkkinatuesta]:[Uudistuksen mukainen osuus ansiopäivärahasta]])</f>
        <v>265575.49168263923</v>
      </c>
      <c r="I43" s="467">
        <f>Taulukko9[[#This Row],[Uudistuksen mukainen rahoitusvastuu yhteensä]]-Taulukko9[[#This Row],[Nykytila, kuntien osuus työmarkkinatuesta]]</f>
        <v>120371.25168263924</v>
      </c>
    </row>
    <row r="44" spans="1:9">
      <c r="A44" s="456">
        <v>105</v>
      </c>
      <c r="B44" s="456" t="s">
        <v>44</v>
      </c>
      <c r="C44" s="457">
        <v>2063</v>
      </c>
      <c r="D44" s="458">
        <v>131371.37</v>
      </c>
      <c r="E44" s="458">
        <v>187271.62400000001</v>
      </c>
      <c r="F44" s="458">
        <v>9699.4509999999991</v>
      </c>
      <c r="G44" s="458">
        <v>47131.712462810501</v>
      </c>
      <c r="H44" s="459">
        <f>SUM(Taulukko9[[#This Row],[Uudistuksten mukainen osuus työmarkkinatuesta]:[Uudistuksen mukainen osuus ansiopäivärahasta]])</f>
        <v>244102.78746281052</v>
      </c>
      <c r="I44" s="467">
        <f>Taulukko9[[#This Row],[Uudistuksen mukainen rahoitusvastuu yhteensä]]-Taulukko9[[#This Row],[Nykytila, kuntien osuus työmarkkinatuesta]]</f>
        <v>112731.41746281052</v>
      </c>
    </row>
    <row r="45" spans="1:9">
      <c r="A45" s="456">
        <v>106</v>
      </c>
      <c r="B45" s="456" t="s">
        <v>45</v>
      </c>
      <c r="C45" s="457">
        <v>46901</v>
      </c>
      <c r="D45" s="458">
        <v>4705739.18</v>
      </c>
      <c r="E45" s="458">
        <v>5995045.1494999994</v>
      </c>
      <c r="F45" s="458">
        <v>263444.67099999997</v>
      </c>
      <c r="G45" s="458">
        <v>614843.79977557599</v>
      </c>
      <c r="H45" s="459">
        <f>SUM(Taulukko9[[#This Row],[Uudistuksten mukainen osuus työmarkkinatuesta]:[Uudistuksen mukainen osuus ansiopäivärahasta]])</f>
        <v>6873333.6202755757</v>
      </c>
      <c r="I45" s="467">
        <f>Taulukko9[[#This Row],[Uudistuksen mukainen rahoitusvastuu yhteensä]]-Taulukko9[[#This Row],[Nykytila, kuntien osuus työmarkkinatuesta]]</f>
        <v>2167594.440275576</v>
      </c>
    </row>
    <row r="46" spans="1:9">
      <c r="A46" s="456">
        <v>108</v>
      </c>
      <c r="B46" s="456" t="s">
        <v>46</v>
      </c>
      <c r="C46" s="457">
        <v>10319</v>
      </c>
      <c r="D46" s="458">
        <v>518557.34</v>
      </c>
      <c r="E46" s="458">
        <v>720728.3885</v>
      </c>
      <c r="F46" s="458">
        <v>42802.538</v>
      </c>
      <c r="G46" s="458">
        <v>141993.579001957</v>
      </c>
      <c r="H46" s="459">
        <f>SUM(Taulukko9[[#This Row],[Uudistuksten mukainen osuus työmarkkinatuesta]:[Uudistuksen mukainen osuus ansiopäivärahasta]])</f>
        <v>905524.50550195703</v>
      </c>
      <c r="I46" s="467">
        <f>Taulukko9[[#This Row],[Uudistuksen mukainen rahoitusvastuu yhteensä]]-Taulukko9[[#This Row],[Nykytila, kuntien osuus työmarkkinatuesta]]</f>
        <v>386967.165501957</v>
      </c>
    </row>
    <row r="47" spans="1:9">
      <c r="A47" s="456">
        <v>109</v>
      </c>
      <c r="B47" s="456" t="s">
        <v>47</v>
      </c>
      <c r="C47" s="457">
        <v>68319</v>
      </c>
      <c r="D47" s="458">
        <v>6705550.2300000004</v>
      </c>
      <c r="E47" s="458">
        <v>8074965.4955000002</v>
      </c>
      <c r="F47" s="458">
        <v>284564.10399999999</v>
      </c>
      <c r="G47" s="458">
        <v>860001.24181852199</v>
      </c>
      <c r="H47" s="459">
        <f>SUM(Taulukko9[[#This Row],[Uudistuksten mukainen osuus työmarkkinatuesta]:[Uudistuksen mukainen osuus ansiopäivärahasta]])</f>
        <v>9219530.8413185216</v>
      </c>
      <c r="I47" s="467">
        <f>Taulukko9[[#This Row],[Uudistuksen mukainen rahoitusvastuu yhteensä]]-Taulukko9[[#This Row],[Nykytila, kuntien osuus työmarkkinatuesta]]</f>
        <v>2513980.6113185212</v>
      </c>
    </row>
    <row r="48" spans="1:9">
      <c r="A48" s="456">
        <v>111</v>
      </c>
      <c r="B48" s="456" t="s">
        <v>48</v>
      </c>
      <c r="C48" s="457">
        <v>17953</v>
      </c>
      <c r="D48" s="458">
        <v>1816834.4</v>
      </c>
      <c r="E48" s="458">
        <v>1918429.7760000001</v>
      </c>
      <c r="F48" s="458">
        <v>80184.341</v>
      </c>
      <c r="G48" s="458">
        <v>398530.96338950098</v>
      </c>
      <c r="H48" s="459">
        <f>SUM(Taulukko9[[#This Row],[Uudistuksten mukainen osuus työmarkkinatuesta]:[Uudistuksen mukainen osuus ansiopäivärahasta]])</f>
        <v>2397145.0803895011</v>
      </c>
      <c r="I48" s="467">
        <f>Taulukko9[[#This Row],[Uudistuksen mukainen rahoitusvastuu yhteensä]]-Taulukko9[[#This Row],[Nykytila, kuntien osuus työmarkkinatuesta]]</f>
        <v>580310.68038950115</v>
      </c>
    </row>
    <row r="49" spans="1:9">
      <c r="A49" s="456">
        <v>139</v>
      </c>
      <c r="B49" s="456" t="s">
        <v>49</v>
      </c>
      <c r="C49" s="457">
        <v>9766</v>
      </c>
      <c r="D49" s="458">
        <v>477132.59</v>
      </c>
      <c r="E49" s="458">
        <v>746900.31450000009</v>
      </c>
      <c r="F49" s="458">
        <v>30805.420999999998</v>
      </c>
      <c r="G49" s="458">
        <v>251033.052168041</v>
      </c>
      <c r="H49" s="459">
        <f>SUM(Taulukko9[[#This Row],[Uudistuksten mukainen osuus työmarkkinatuesta]:[Uudistuksen mukainen osuus ansiopäivärahasta]])</f>
        <v>1028738.7876680411</v>
      </c>
      <c r="I49" s="467">
        <f>Taulukko9[[#This Row],[Uudistuksen mukainen rahoitusvastuu yhteensä]]-Taulukko9[[#This Row],[Nykytila, kuntien osuus työmarkkinatuesta]]</f>
        <v>551606.1976680411</v>
      </c>
    </row>
    <row r="50" spans="1:9">
      <c r="A50" s="456">
        <v>140</v>
      </c>
      <c r="B50" s="456" t="s">
        <v>50</v>
      </c>
      <c r="C50" s="457">
        <v>20618</v>
      </c>
      <c r="D50" s="458">
        <v>1737750.92</v>
      </c>
      <c r="E50" s="458">
        <v>2062082.537</v>
      </c>
      <c r="F50" s="458">
        <v>84989.994999999995</v>
      </c>
      <c r="G50" s="458">
        <v>368863.82267979399</v>
      </c>
      <c r="H50" s="459">
        <f>SUM(Taulukko9[[#This Row],[Uudistuksten mukainen osuus työmarkkinatuesta]:[Uudistuksen mukainen osuus ansiopäivärahasta]])</f>
        <v>2515936.3546797941</v>
      </c>
      <c r="I50" s="467">
        <f>Taulukko9[[#This Row],[Uudistuksen mukainen rahoitusvastuu yhteensä]]-Taulukko9[[#This Row],[Nykytila, kuntien osuus työmarkkinatuesta]]</f>
        <v>778185.43467979413</v>
      </c>
    </row>
    <row r="51" spans="1:9">
      <c r="A51" s="456">
        <v>142</v>
      </c>
      <c r="B51" s="456" t="s">
        <v>51</v>
      </c>
      <c r="C51" s="457">
        <v>6444</v>
      </c>
      <c r="D51" s="458">
        <v>360678.12</v>
      </c>
      <c r="E51" s="458">
        <v>429913.45799999998</v>
      </c>
      <c r="F51" s="458">
        <v>24654.154999999999</v>
      </c>
      <c r="G51" s="458">
        <v>88887.379915914702</v>
      </c>
      <c r="H51" s="459">
        <f>SUM(Taulukko9[[#This Row],[Uudistuksten mukainen osuus työmarkkinatuesta]:[Uudistuksen mukainen osuus ansiopäivärahasta]])</f>
        <v>543454.99291591474</v>
      </c>
      <c r="I51" s="467">
        <f>Taulukko9[[#This Row],[Uudistuksen mukainen rahoitusvastuu yhteensä]]-Taulukko9[[#This Row],[Nykytila, kuntien osuus työmarkkinatuesta]]</f>
        <v>182776.87291591475</v>
      </c>
    </row>
    <row r="52" spans="1:9">
      <c r="A52" s="456">
        <v>143</v>
      </c>
      <c r="B52" s="456" t="s">
        <v>52</v>
      </c>
      <c r="C52" s="457">
        <v>6850</v>
      </c>
      <c r="D52" s="458">
        <v>272777.73</v>
      </c>
      <c r="E52" s="458">
        <v>476320.94649999996</v>
      </c>
      <c r="F52" s="458">
        <v>31924.499</v>
      </c>
      <c r="G52" s="458">
        <v>98809.932363377098</v>
      </c>
      <c r="H52" s="459">
        <f>SUM(Taulukko9[[#This Row],[Uudistuksten mukainen osuus työmarkkinatuesta]:[Uudistuksen mukainen osuus ansiopäivärahasta]])</f>
        <v>607055.3778633771</v>
      </c>
      <c r="I52" s="467">
        <f>Taulukko9[[#This Row],[Uudistuksen mukainen rahoitusvastuu yhteensä]]-Taulukko9[[#This Row],[Nykytila, kuntien osuus työmarkkinatuesta]]</f>
        <v>334277.64786337712</v>
      </c>
    </row>
    <row r="53" spans="1:9">
      <c r="A53" s="456">
        <v>145</v>
      </c>
      <c r="B53" s="456" t="s">
        <v>53</v>
      </c>
      <c r="C53" s="457">
        <v>12343</v>
      </c>
      <c r="D53" s="458">
        <v>380883.54</v>
      </c>
      <c r="E53" s="458">
        <v>590327.43599999999</v>
      </c>
      <c r="F53" s="458">
        <v>35778.196000000004</v>
      </c>
      <c r="G53" s="458">
        <v>121351.05591111101</v>
      </c>
      <c r="H53" s="459">
        <f>SUM(Taulukko9[[#This Row],[Uudistuksten mukainen osuus työmarkkinatuesta]:[Uudistuksen mukainen osuus ansiopäivärahasta]])</f>
        <v>747456.68791111093</v>
      </c>
      <c r="I53" s="467">
        <f>Taulukko9[[#This Row],[Uudistuksen mukainen rahoitusvastuu yhteensä]]-Taulukko9[[#This Row],[Nykytila, kuntien osuus työmarkkinatuesta]]</f>
        <v>366573.14791111095</v>
      </c>
    </row>
    <row r="54" spans="1:9">
      <c r="A54" s="456">
        <v>146</v>
      </c>
      <c r="B54" s="456" t="s">
        <v>54</v>
      </c>
      <c r="C54" s="457">
        <v>4406</v>
      </c>
      <c r="D54" s="458">
        <v>442221.72</v>
      </c>
      <c r="E54" s="458">
        <v>447394.56200000003</v>
      </c>
      <c r="F54" s="458">
        <v>22898.552</v>
      </c>
      <c r="G54" s="458">
        <v>122942.437845536</v>
      </c>
      <c r="H54" s="459">
        <f>SUM(Taulukko9[[#This Row],[Uudistuksten mukainen osuus työmarkkinatuesta]:[Uudistuksen mukainen osuus ansiopäivärahasta]])</f>
        <v>593235.5518455361</v>
      </c>
      <c r="I54" s="467">
        <f>Taulukko9[[#This Row],[Uudistuksen mukainen rahoitusvastuu yhteensä]]-Taulukko9[[#This Row],[Nykytila, kuntien osuus työmarkkinatuesta]]</f>
        <v>151013.83184553613</v>
      </c>
    </row>
    <row r="55" spans="1:9">
      <c r="A55" s="456">
        <v>148</v>
      </c>
      <c r="B55" s="456" t="s">
        <v>55</v>
      </c>
      <c r="C55" s="457">
        <v>7127</v>
      </c>
      <c r="D55" s="458">
        <v>433850.73</v>
      </c>
      <c r="E55" s="458">
        <v>527133.15299999993</v>
      </c>
      <c r="F55" s="458">
        <v>20936.262999999999</v>
      </c>
      <c r="G55" s="458">
        <v>144392.09084593301</v>
      </c>
      <c r="H55" s="459">
        <f>SUM(Taulukko9[[#This Row],[Uudistuksten mukainen osuus työmarkkinatuesta]:[Uudistuksen mukainen osuus ansiopäivärahasta]])</f>
        <v>692461.50684593292</v>
      </c>
      <c r="I55" s="467">
        <f>Taulukko9[[#This Row],[Uudistuksen mukainen rahoitusvastuu yhteensä]]-Taulukko9[[#This Row],[Nykytila, kuntien osuus työmarkkinatuesta]]</f>
        <v>258610.77684593294</v>
      </c>
    </row>
    <row r="56" spans="1:9">
      <c r="A56" s="456">
        <v>149</v>
      </c>
      <c r="B56" s="456" t="s">
        <v>56</v>
      </c>
      <c r="C56" s="457">
        <v>5379</v>
      </c>
      <c r="D56" s="458">
        <v>356337.29</v>
      </c>
      <c r="E56" s="458">
        <v>329333.23100000003</v>
      </c>
      <c r="F56" s="458">
        <v>9938.98</v>
      </c>
      <c r="G56" s="458">
        <v>55252.927451073097</v>
      </c>
      <c r="H56" s="459">
        <f>SUM(Taulukko9[[#This Row],[Uudistuksten mukainen osuus työmarkkinatuesta]:[Uudistuksen mukainen osuus ansiopäivärahasta]])</f>
        <v>394525.13845107309</v>
      </c>
      <c r="I56" s="467">
        <f>Taulukko9[[#This Row],[Uudistuksen mukainen rahoitusvastuu yhteensä]]-Taulukko9[[#This Row],[Nykytila, kuntien osuus työmarkkinatuesta]]</f>
        <v>38187.848451073107</v>
      </c>
    </row>
    <row r="57" spans="1:9">
      <c r="A57" s="456">
        <v>151</v>
      </c>
      <c r="B57" s="456" t="s">
        <v>57</v>
      </c>
      <c r="C57" s="457">
        <v>1814</v>
      </c>
      <c r="D57" s="458">
        <v>60224.29</v>
      </c>
      <c r="E57" s="458">
        <v>99438.34599999999</v>
      </c>
      <c r="F57" s="458">
        <v>8359.9069999999992</v>
      </c>
      <c r="G57" s="458">
        <v>12527.986634589701</v>
      </c>
      <c r="H57" s="459">
        <f>SUM(Taulukko9[[#This Row],[Uudistuksten mukainen osuus työmarkkinatuesta]:[Uudistuksen mukainen osuus ansiopäivärahasta]])</f>
        <v>120326.2396345897</v>
      </c>
      <c r="I57" s="467">
        <f>Taulukko9[[#This Row],[Uudistuksen mukainen rahoitusvastuu yhteensä]]-Taulukko9[[#This Row],[Nykytila, kuntien osuus työmarkkinatuesta]]</f>
        <v>60101.949634589699</v>
      </c>
    </row>
    <row r="58" spans="1:9">
      <c r="A58" s="456">
        <v>152</v>
      </c>
      <c r="B58" s="456" t="s">
        <v>58</v>
      </c>
      <c r="C58" s="457">
        <v>4357</v>
      </c>
      <c r="D58" s="458">
        <v>159006.46</v>
      </c>
      <c r="E58" s="458">
        <v>248752.476</v>
      </c>
      <c r="F58" s="458">
        <v>16856.962</v>
      </c>
      <c r="G58" s="458">
        <v>45978.654593461601</v>
      </c>
      <c r="H58" s="459">
        <f>SUM(Taulukko9[[#This Row],[Uudistuksten mukainen osuus työmarkkinatuesta]:[Uudistuksen mukainen osuus ansiopäivärahasta]])</f>
        <v>311588.09259346157</v>
      </c>
      <c r="I58" s="467">
        <f>Taulukko9[[#This Row],[Uudistuksen mukainen rahoitusvastuu yhteensä]]-Taulukko9[[#This Row],[Nykytila, kuntien osuus työmarkkinatuesta]]</f>
        <v>152581.63259346157</v>
      </c>
    </row>
    <row r="59" spans="1:9">
      <c r="A59" s="456">
        <v>153</v>
      </c>
      <c r="B59" s="456" t="s">
        <v>59</v>
      </c>
      <c r="C59" s="457">
        <v>24919</v>
      </c>
      <c r="D59" s="458">
        <v>2296678.37</v>
      </c>
      <c r="E59" s="458">
        <v>3464178.6655000001</v>
      </c>
      <c r="F59" s="458">
        <v>163320.78099999999</v>
      </c>
      <c r="G59" s="458">
        <v>639998.41871606198</v>
      </c>
      <c r="H59" s="459">
        <f>SUM(Taulukko9[[#This Row],[Uudistuksten mukainen osuus työmarkkinatuesta]:[Uudistuksen mukainen osuus ansiopäivärahasta]])</f>
        <v>4267497.8652160624</v>
      </c>
      <c r="I59" s="467">
        <f>Taulukko9[[#This Row],[Uudistuksen mukainen rahoitusvastuu yhteensä]]-Taulukko9[[#This Row],[Nykytila, kuntien osuus työmarkkinatuesta]]</f>
        <v>1970819.4952160623</v>
      </c>
    </row>
    <row r="60" spans="1:9">
      <c r="A60" s="456">
        <v>165</v>
      </c>
      <c r="B60" s="456" t="s">
        <v>60</v>
      </c>
      <c r="C60" s="457">
        <v>16123</v>
      </c>
      <c r="D60" s="458">
        <v>953281.53</v>
      </c>
      <c r="E60" s="458">
        <v>1283210.8785000001</v>
      </c>
      <c r="F60" s="458">
        <v>64993.792999999998</v>
      </c>
      <c r="G60" s="458">
        <v>242979.28772596599</v>
      </c>
      <c r="H60" s="459">
        <f>SUM(Taulukko9[[#This Row],[Uudistuksten mukainen osuus työmarkkinatuesta]:[Uudistuksen mukainen osuus ansiopäivärahasta]])</f>
        <v>1591183.9592259661</v>
      </c>
      <c r="I60" s="467">
        <f>Taulukko9[[#This Row],[Uudistuksen mukainen rahoitusvastuu yhteensä]]-Taulukko9[[#This Row],[Nykytila, kuntien osuus työmarkkinatuesta]]</f>
        <v>637902.4292259661</v>
      </c>
    </row>
    <row r="61" spans="1:9">
      <c r="A61" s="456">
        <v>167</v>
      </c>
      <c r="B61" s="456" t="s">
        <v>61</v>
      </c>
      <c r="C61" s="457">
        <v>78062</v>
      </c>
      <c r="D61" s="458">
        <v>10654352.09</v>
      </c>
      <c r="E61" s="458">
        <v>11829002.801999999</v>
      </c>
      <c r="F61" s="458">
        <v>457580.533</v>
      </c>
      <c r="G61" s="458">
        <v>1507621.8373817101</v>
      </c>
      <c r="H61" s="459">
        <f>SUM(Taulukko9[[#This Row],[Uudistuksten mukainen osuus työmarkkinatuesta]:[Uudistuksen mukainen osuus ansiopäivärahasta]])</f>
        <v>13794205.172381708</v>
      </c>
      <c r="I61" s="467">
        <f>Taulukko9[[#This Row],[Uudistuksen mukainen rahoitusvastuu yhteensä]]-Taulukko9[[#This Row],[Nykytila, kuntien osuus työmarkkinatuesta]]</f>
        <v>3139853.0823817085</v>
      </c>
    </row>
    <row r="62" spans="1:9">
      <c r="A62" s="456">
        <v>169</v>
      </c>
      <c r="B62" s="456" t="s">
        <v>62</v>
      </c>
      <c r="C62" s="457">
        <v>4916</v>
      </c>
      <c r="D62" s="458">
        <v>203402.34</v>
      </c>
      <c r="E62" s="458">
        <v>352639.97450000001</v>
      </c>
      <c r="F62" s="458">
        <v>18128.955000000002</v>
      </c>
      <c r="G62" s="458">
        <v>69028.917556081797</v>
      </c>
      <c r="H62" s="459">
        <f>SUM(Taulukko9[[#This Row],[Uudistuksten mukainen osuus työmarkkinatuesta]:[Uudistuksen mukainen osuus ansiopäivärahasta]])</f>
        <v>439797.84705608181</v>
      </c>
      <c r="I62" s="467">
        <f>Taulukko9[[#This Row],[Uudistuksen mukainen rahoitusvastuu yhteensä]]-Taulukko9[[#This Row],[Nykytila, kuntien osuus työmarkkinatuesta]]</f>
        <v>236395.50705608181</v>
      </c>
    </row>
    <row r="63" spans="1:9">
      <c r="A63" s="456">
        <v>171</v>
      </c>
      <c r="B63" s="456" t="s">
        <v>63</v>
      </c>
      <c r="C63" s="457">
        <v>4590</v>
      </c>
      <c r="D63" s="458">
        <v>143763.25</v>
      </c>
      <c r="E63" s="458">
        <v>252774.33899999998</v>
      </c>
      <c r="F63" s="458">
        <v>23168.768</v>
      </c>
      <c r="G63" s="458">
        <v>120527.947409523</v>
      </c>
      <c r="H63" s="459">
        <f>SUM(Taulukko9[[#This Row],[Uudistuksten mukainen osuus työmarkkinatuesta]:[Uudistuksen mukainen osuus ansiopäivärahasta]])</f>
        <v>396471.05440952297</v>
      </c>
      <c r="I63" s="467">
        <f>Taulukko9[[#This Row],[Uudistuksen mukainen rahoitusvastuu yhteensä]]-Taulukko9[[#This Row],[Nykytila, kuntien osuus työmarkkinatuesta]]</f>
        <v>252707.80440952297</v>
      </c>
    </row>
    <row r="64" spans="1:9">
      <c r="A64" s="456">
        <v>172</v>
      </c>
      <c r="B64" s="456" t="s">
        <v>64</v>
      </c>
      <c r="C64" s="457">
        <v>4079</v>
      </c>
      <c r="D64" s="458">
        <v>333115.78999999998</v>
      </c>
      <c r="E64" s="458">
        <v>387907.03500000003</v>
      </c>
      <c r="F64" s="458">
        <v>15784.221</v>
      </c>
      <c r="G64" s="458">
        <v>84991.657331359704</v>
      </c>
      <c r="H64" s="459">
        <f>SUM(Taulukko9[[#This Row],[Uudistuksten mukainen osuus työmarkkinatuesta]:[Uudistuksen mukainen osuus ansiopäivärahasta]])</f>
        <v>488682.91333135974</v>
      </c>
      <c r="I64" s="467">
        <f>Taulukko9[[#This Row],[Uudistuksen mukainen rahoitusvastuu yhteensä]]-Taulukko9[[#This Row],[Nykytila, kuntien osuus työmarkkinatuesta]]</f>
        <v>155567.12333135976</v>
      </c>
    </row>
    <row r="65" spans="1:9">
      <c r="A65" s="456">
        <v>176</v>
      </c>
      <c r="B65" s="456" t="s">
        <v>65</v>
      </c>
      <c r="C65" s="457">
        <v>4259</v>
      </c>
      <c r="D65" s="458">
        <v>399832.56</v>
      </c>
      <c r="E65" s="458">
        <v>496430.8885</v>
      </c>
      <c r="F65" s="458">
        <v>28401.79</v>
      </c>
      <c r="G65" s="458">
        <v>98820.928672980197</v>
      </c>
      <c r="H65" s="459">
        <f>SUM(Taulukko9[[#This Row],[Uudistuksten mukainen osuus työmarkkinatuesta]:[Uudistuksen mukainen osuus ansiopäivärahasta]])</f>
        <v>623653.60717298021</v>
      </c>
      <c r="I65" s="467">
        <f>Taulukko9[[#This Row],[Uudistuksen mukainen rahoitusvastuu yhteensä]]-Taulukko9[[#This Row],[Nykytila, kuntien osuus työmarkkinatuesta]]</f>
        <v>223821.04717298021</v>
      </c>
    </row>
    <row r="66" spans="1:9">
      <c r="A66" s="456">
        <v>177</v>
      </c>
      <c r="B66" s="456" t="s">
        <v>66</v>
      </c>
      <c r="C66" s="457">
        <v>1708</v>
      </c>
      <c r="D66" s="458">
        <v>54737.73</v>
      </c>
      <c r="E66" s="458">
        <v>106862.83199999999</v>
      </c>
      <c r="F66" s="458">
        <v>5259.6030000000001</v>
      </c>
      <c r="G66" s="458">
        <v>25043.549891309802</v>
      </c>
      <c r="H66" s="459">
        <f>SUM(Taulukko9[[#This Row],[Uudistuksten mukainen osuus työmarkkinatuesta]:[Uudistuksen mukainen osuus ansiopäivärahasta]])</f>
        <v>137165.98489130981</v>
      </c>
      <c r="I66" s="467">
        <f>Taulukko9[[#This Row],[Uudistuksen mukainen rahoitusvastuu yhteensä]]-Taulukko9[[#This Row],[Nykytila, kuntien osuus työmarkkinatuesta]]</f>
        <v>82428.2548913098</v>
      </c>
    </row>
    <row r="67" spans="1:9">
      <c r="A67" s="456">
        <v>178</v>
      </c>
      <c r="B67" s="456" t="s">
        <v>67</v>
      </c>
      <c r="C67" s="457">
        <v>5734</v>
      </c>
      <c r="D67" s="458">
        <v>162078.39999999999</v>
      </c>
      <c r="E67" s="458">
        <v>258058.76400000002</v>
      </c>
      <c r="F67" s="458">
        <v>26185.951000000001</v>
      </c>
      <c r="G67" s="458">
        <v>81793.316215013401</v>
      </c>
      <c r="H67" s="459">
        <f>SUM(Taulukko9[[#This Row],[Uudistuksten mukainen osuus työmarkkinatuesta]:[Uudistuksen mukainen osuus ansiopäivärahasta]])</f>
        <v>366038.03121501341</v>
      </c>
      <c r="I67" s="467">
        <f>Taulukko9[[#This Row],[Uudistuksen mukainen rahoitusvastuu yhteensä]]-Taulukko9[[#This Row],[Nykytila, kuntien osuus työmarkkinatuesta]]</f>
        <v>203959.63121501342</v>
      </c>
    </row>
    <row r="68" spans="1:9">
      <c r="A68" s="456">
        <v>179</v>
      </c>
      <c r="B68" s="456" t="s">
        <v>68</v>
      </c>
      <c r="C68" s="457">
        <v>147746</v>
      </c>
      <c r="D68" s="458">
        <v>19735495.039999999</v>
      </c>
      <c r="E68" s="458">
        <v>23923242.886500001</v>
      </c>
      <c r="F68" s="458">
        <v>711381.26500000001</v>
      </c>
      <c r="G68" s="458">
        <v>2347108.73745859</v>
      </c>
      <c r="H68" s="459">
        <f>SUM(Taulukko9[[#This Row],[Uudistuksten mukainen osuus työmarkkinatuesta]:[Uudistuksen mukainen osuus ansiopäivärahasta]])</f>
        <v>26981732.888958592</v>
      </c>
      <c r="I68" s="467">
        <f>Taulukko9[[#This Row],[Uudistuksen mukainen rahoitusvastuu yhteensä]]-Taulukko9[[#This Row],[Nykytila, kuntien osuus työmarkkinatuesta]]</f>
        <v>7246237.8489585929</v>
      </c>
    </row>
    <row r="69" spans="1:9">
      <c r="A69" s="456">
        <v>181</v>
      </c>
      <c r="B69" s="456" t="s">
        <v>69</v>
      </c>
      <c r="C69" s="457">
        <v>1682</v>
      </c>
      <c r="D69" s="458">
        <v>100412.87</v>
      </c>
      <c r="E69" s="458">
        <v>143082.84</v>
      </c>
      <c r="F69" s="458">
        <v>4553.0450000000001</v>
      </c>
      <c r="G69" s="458">
        <v>19843.4827136817</v>
      </c>
      <c r="H69" s="459">
        <f>SUM(Taulukko9[[#This Row],[Uudistuksten mukainen osuus työmarkkinatuesta]:[Uudistuksen mukainen osuus ansiopäivärahasta]])</f>
        <v>167479.36771368171</v>
      </c>
      <c r="I69" s="467">
        <f>Taulukko9[[#This Row],[Uudistuksen mukainen rahoitusvastuu yhteensä]]-Taulukko9[[#This Row],[Nykytila, kuntien osuus työmarkkinatuesta]]</f>
        <v>67066.497713681718</v>
      </c>
    </row>
    <row r="70" spans="1:9">
      <c r="A70" s="456">
        <v>182</v>
      </c>
      <c r="B70" s="456" t="s">
        <v>70</v>
      </c>
      <c r="C70" s="457">
        <v>19182</v>
      </c>
      <c r="D70" s="458">
        <v>1777728.61</v>
      </c>
      <c r="E70" s="458">
        <v>2556474.9124999996</v>
      </c>
      <c r="F70" s="458">
        <v>73340.998000000007</v>
      </c>
      <c r="G70" s="458">
        <v>443989.49140703201</v>
      </c>
      <c r="H70" s="459">
        <f>SUM(Taulukko9[[#This Row],[Uudistuksten mukainen osuus työmarkkinatuesta]:[Uudistuksen mukainen osuus ansiopäivärahasta]])</f>
        <v>3073805.4019070319</v>
      </c>
      <c r="I70" s="467">
        <f>Taulukko9[[#This Row],[Uudistuksen mukainen rahoitusvastuu yhteensä]]-Taulukko9[[#This Row],[Nykytila, kuntien osuus työmarkkinatuesta]]</f>
        <v>1296076.7919070318</v>
      </c>
    </row>
    <row r="71" spans="1:9">
      <c r="A71" s="456">
        <v>186</v>
      </c>
      <c r="B71" s="456" t="s">
        <v>71</v>
      </c>
      <c r="C71" s="457">
        <v>46490</v>
      </c>
      <c r="D71" s="458">
        <v>4280459.08</v>
      </c>
      <c r="E71" s="458">
        <v>4782712.7719999999</v>
      </c>
      <c r="F71" s="458">
        <v>225697.736</v>
      </c>
      <c r="G71" s="458">
        <v>503033.14663193998</v>
      </c>
      <c r="H71" s="459">
        <f>SUM(Taulukko9[[#This Row],[Uudistuksten mukainen osuus työmarkkinatuesta]:[Uudistuksen mukainen osuus ansiopäivärahasta]])</f>
        <v>5511443.6546319397</v>
      </c>
      <c r="I71" s="467">
        <f>Taulukko9[[#This Row],[Uudistuksen mukainen rahoitusvastuu yhteensä]]-Taulukko9[[#This Row],[Nykytila, kuntien osuus työmarkkinatuesta]]</f>
        <v>1230984.5746319396</v>
      </c>
    </row>
    <row r="72" spans="1:9">
      <c r="A72" s="456">
        <v>202</v>
      </c>
      <c r="B72" s="456" t="s">
        <v>72</v>
      </c>
      <c r="C72" s="457">
        <v>36339</v>
      </c>
      <c r="D72" s="458">
        <v>1016534.01</v>
      </c>
      <c r="E72" s="458">
        <v>1713355.7655</v>
      </c>
      <c r="F72" s="458">
        <v>99422.243000000002</v>
      </c>
      <c r="G72" s="458">
        <v>431745.88358343602</v>
      </c>
      <c r="H72" s="459">
        <f>SUM(Taulukko9[[#This Row],[Uudistuksten mukainen osuus työmarkkinatuesta]:[Uudistuksen mukainen osuus ansiopäivärahasta]])</f>
        <v>2244523.8920834363</v>
      </c>
      <c r="I72" s="467">
        <f>Taulukko9[[#This Row],[Uudistuksen mukainen rahoitusvastuu yhteensä]]-Taulukko9[[#This Row],[Nykytila, kuntien osuus työmarkkinatuesta]]</f>
        <v>1227989.8820834362</v>
      </c>
    </row>
    <row r="73" spans="1:9">
      <c r="A73" s="456">
        <v>204</v>
      </c>
      <c r="B73" s="456" t="s">
        <v>73</v>
      </c>
      <c r="C73" s="457">
        <v>2628</v>
      </c>
      <c r="D73" s="458">
        <v>281143.53999999998</v>
      </c>
      <c r="E73" s="458">
        <v>322603.212</v>
      </c>
      <c r="F73" s="458">
        <v>11396.201999999999</v>
      </c>
      <c r="G73" s="458">
        <v>27999.044970106799</v>
      </c>
      <c r="H73" s="459">
        <f>SUM(Taulukko9[[#This Row],[Uudistuksten mukainen osuus työmarkkinatuesta]:[Uudistuksen mukainen osuus ansiopäivärahasta]])</f>
        <v>361998.45897010679</v>
      </c>
      <c r="I73" s="467">
        <f>Taulukko9[[#This Row],[Uudistuksen mukainen rahoitusvastuu yhteensä]]-Taulukko9[[#This Row],[Nykytila, kuntien osuus työmarkkinatuesta]]</f>
        <v>80854.91897010681</v>
      </c>
    </row>
    <row r="74" spans="1:9">
      <c r="A74" s="456">
        <v>205</v>
      </c>
      <c r="B74" s="456" t="s">
        <v>74</v>
      </c>
      <c r="C74" s="457">
        <v>36513</v>
      </c>
      <c r="D74" s="458">
        <v>2235326.9</v>
      </c>
      <c r="E74" s="458">
        <v>3249506.8870000001</v>
      </c>
      <c r="F74" s="458">
        <v>208624.098</v>
      </c>
      <c r="G74" s="458">
        <v>608935.02054387599</v>
      </c>
      <c r="H74" s="459">
        <f>SUM(Taulukko9[[#This Row],[Uudistuksten mukainen osuus työmarkkinatuesta]:[Uudistuksen mukainen osuus ansiopäivärahasta]])</f>
        <v>4067066.0055438764</v>
      </c>
      <c r="I74" s="467">
        <f>Taulukko9[[#This Row],[Uudistuksen mukainen rahoitusvastuu yhteensä]]-Taulukko9[[#This Row],[Nykytila, kuntien osuus työmarkkinatuesta]]</f>
        <v>1831739.1055438765</v>
      </c>
    </row>
    <row r="75" spans="1:9">
      <c r="A75" s="456">
        <v>208</v>
      </c>
      <c r="B75" s="456" t="s">
        <v>75</v>
      </c>
      <c r="C75" s="457">
        <v>12372</v>
      </c>
      <c r="D75" s="458">
        <v>339640.81</v>
      </c>
      <c r="E75" s="458">
        <v>590628.25300000003</v>
      </c>
      <c r="F75" s="458">
        <v>27685.409</v>
      </c>
      <c r="G75" s="458">
        <v>141723.18803848801</v>
      </c>
      <c r="H75" s="459">
        <f>SUM(Taulukko9[[#This Row],[Uudistuksten mukainen osuus työmarkkinatuesta]:[Uudistuksen mukainen osuus ansiopäivärahasta]])</f>
        <v>760036.85003848805</v>
      </c>
      <c r="I75" s="467">
        <f>Taulukko9[[#This Row],[Uudistuksen mukainen rahoitusvastuu yhteensä]]-Taulukko9[[#This Row],[Nykytila, kuntien osuus työmarkkinatuesta]]</f>
        <v>420396.04003848805</v>
      </c>
    </row>
    <row r="76" spans="1:9">
      <c r="A76" s="456">
        <v>211</v>
      </c>
      <c r="B76" s="456" t="s">
        <v>76</v>
      </c>
      <c r="C76" s="457">
        <v>33473</v>
      </c>
      <c r="D76" s="458">
        <v>1665542.78</v>
      </c>
      <c r="E76" s="458">
        <v>1833099.5660000001</v>
      </c>
      <c r="F76" s="458">
        <v>110397.44500000001</v>
      </c>
      <c r="G76" s="458">
        <v>425237.19489983498</v>
      </c>
      <c r="H76" s="459">
        <f>SUM(Taulukko9[[#This Row],[Uudistuksten mukainen osuus työmarkkinatuesta]:[Uudistuksen mukainen osuus ansiopäivärahasta]])</f>
        <v>2368734.2058998351</v>
      </c>
      <c r="I76" s="467">
        <f>Taulukko9[[#This Row],[Uudistuksen mukainen rahoitusvastuu yhteensä]]-Taulukko9[[#This Row],[Nykytila, kuntien osuus työmarkkinatuesta]]</f>
        <v>703191.42589983507</v>
      </c>
    </row>
    <row r="77" spans="1:9">
      <c r="A77" s="456">
        <v>213</v>
      </c>
      <c r="B77" s="456" t="s">
        <v>77</v>
      </c>
      <c r="C77" s="457">
        <v>5114</v>
      </c>
      <c r="D77" s="458">
        <v>212558.95</v>
      </c>
      <c r="E77" s="458">
        <v>389449.92700000003</v>
      </c>
      <c r="F77" s="458">
        <v>23347.161</v>
      </c>
      <c r="G77" s="458">
        <v>94714.684183508594</v>
      </c>
      <c r="H77" s="459">
        <f>SUM(Taulukko9[[#This Row],[Uudistuksten mukainen osuus työmarkkinatuesta]:[Uudistuksen mukainen osuus ansiopäivärahasta]])</f>
        <v>507511.77218350861</v>
      </c>
      <c r="I77" s="467">
        <f>Taulukko9[[#This Row],[Uudistuksen mukainen rahoitusvastuu yhteensä]]-Taulukko9[[#This Row],[Nykytila, kuntien osuus työmarkkinatuesta]]</f>
        <v>294952.8221835086</v>
      </c>
    </row>
    <row r="78" spans="1:9">
      <c r="A78" s="456">
        <v>214</v>
      </c>
      <c r="B78" s="456" t="s">
        <v>78</v>
      </c>
      <c r="C78" s="457">
        <v>12394</v>
      </c>
      <c r="D78" s="458">
        <v>660102.26</v>
      </c>
      <c r="E78" s="458">
        <v>1304545.966</v>
      </c>
      <c r="F78" s="458">
        <v>48268.277000000002</v>
      </c>
      <c r="G78" s="458">
        <v>206523.08830062201</v>
      </c>
      <c r="H78" s="459">
        <f>SUM(Taulukko9[[#This Row],[Uudistuksten mukainen osuus työmarkkinatuesta]:[Uudistuksen mukainen osuus ansiopäivärahasta]])</f>
        <v>1559337.3313006221</v>
      </c>
      <c r="I78" s="467">
        <f>Taulukko9[[#This Row],[Uudistuksen mukainen rahoitusvastuu yhteensä]]-Taulukko9[[#This Row],[Nykytila, kuntien osuus työmarkkinatuesta]]</f>
        <v>899235.07130062208</v>
      </c>
    </row>
    <row r="79" spans="1:9">
      <c r="A79" s="456">
        <v>216</v>
      </c>
      <c r="B79" s="456" t="s">
        <v>79</v>
      </c>
      <c r="C79" s="457">
        <v>1217</v>
      </c>
      <c r="D79" s="458">
        <v>77091.77</v>
      </c>
      <c r="E79" s="458">
        <v>113500.393</v>
      </c>
      <c r="F79" s="458">
        <v>3750.1370000000002</v>
      </c>
      <c r="G79" s="458">
        <v>32111.7405944641</v>
      </c>
      <c r="H79" s="459">
        <f>SUM(Taulukko9[[#This Row],[Uudistuksten mukainen osuus työmarkkinatuesta]:[Uudistuksen mukainen osuus ansiopäivärahasta]])</f>
        <v>149362.27059446409</v>
      </c>
      <c r="I79" s="467">
        <f>Taulukko9[[#This Row],[Uudistuksen mukainen rahoitusvastuu yhteensä]]-Taulukko9[[#This Row],[Nykytila, kuntien osuus työmarkkinatuesta]]</f>
        <v>72270.500594464087</v>
      </c>
    </row>
    <row r="80" spans="1:9">
      <c r="A80" s="456">
        <v>217</v>
      </c>
      <c r="B80" s="456" t="s">
        <v>80</v>
      </c>
      <c r="C80" s="457">
        <v>5246</v>
      </c>
      <c r="D80" s="458">
        <v>235700.81</v>
      </c>
      <c r="E80" s="458">
        <v>316142.00300000003</v>
      </c>
      <c r="F80" s="458">
        <v>23954.016</v>
      </c>
      <c r="G80" s="458">
        <v>52063.3372641428</v>
      </c>
      <c r="H80" s="459">
        <f>SUM(Taulukko9[[#This Row],[Uudistuksten mukainen osuus työmarkkinatuesta]:[Uudistuksen mukainen osuus ansiopäivärahasta]])</f>
        <v>392159.35626414284</v>
      </c>
      <c r="I80" s="467">
        <f>Taulukko9[[#This Row],[Uudistuksen mukainen rahoitusvastuu yhteensä]]-Taulukko9[[#This Row],[Nykytila, kuntien osuus työmarkkinatuesta]]</f>
        <v>156458.54626414285</v>
      </c>
    </row>
    <row r="81" spans="1:9">
      <c r="A81" s="456">
        <v>218</v>
      </c>
      <c r="B81" s="456" t="s">
        <v>81</v>
      </c>
      <c r="C81" s="457">
        <v>1188</v>
      </c>
      <c r="D81" s="458">
        <v>39298.699999999997</v>
      </c>
      <c r="E81" s="458">
        <v>67649.733500000002</v>
      </c>
      <c r="F81" s="458">
        <v>1136.3969999999999</v>
      </c>
      <c r="G81" s="458">
        <v>13544.976521864601</v>
      </c>
      <c r="H81" s="459">
        <f>SUM(Taulukko9[[#This Row],[Uudistuksten mukainen osuus työmarkkinatuesta]:[Uudistuksen mukainen osuus ansiopäivärahasta]])</f>
        <v>82331.107021864605</v>
      </c>
      <c r="I81" s="467">
        <f>Taulukko9[[#This Row],[Uudistuksen mukainen rahoitusvastuu yhteensä]]-Taulukko9[[#This Row],[Nykytila, kuntien osuus työmarkkinatuesta]]</f>
        <v>43032.407021864608</v>
      </c>
    </row>
    <row r="82" spans="1:9">
      <c r="A82" s="456">
        <v>224</v>
      </c>
      <c r="B82" s="456" t="s">
        <v>82</v>
      </c>
      <c r="C82" s="457">
        <v>8581</v>
      </c>
      <c r="D82" s="458">
        <v>502281.73</v>
      </c>
      <c r="E82" s="458">
        <v>830334.34049999993</v>
      </c>
      <c r="F82" s="458">
        <v>59406.98</v>
      </c>
      <c r="G82" s="458">
        <v>148955.42249321399</v>
      </c>
      <c r="H82" s="459">
        <f>SUM(Taulukko9[[#This Row],[Uudistuksten mukainen osuus työmarkkinatuesta]:[Uudistuksen mukainen osuus ansiopäivärahasta]])</f>
        <v>1038696.7429932139</v>
      </c>
      <c r="I82" s="467">
        <f>Taulukko9[[#This Row],[Uudistuksen mukainen rahoitusvastuu yhteensä]]-Taulukko9[[#This Row],[Nykytila, kuntien osuus työmarkkinatuesta]]</f>
        <v>536415.01299321395</v>
      </c>
    </row>
    <row r="83" spans="1:9">
      <c r="A83" s="456">
        <v>226</v>
      </c>
      <c r="B83" s="456" t="s">
        <v>83</v>
      </c>
      <c r="C83" s="457">
        <v>3625</v>
      </c>
      <c r="D83" s="458">
        <v>163718.38</v>
      </c>
      <c r="E83" s="458">
        <v>285563.48600000003</v>
      </c>
      <c r="F83" s="458">
        <v>9308.2340000000004</v>
      </c>
      <c r="G83" s="458">
        <v>89580.465848341701</v>
      </c>
      <c r="H83" s="459">
        <f>SUM(Taulukko9[[#This Row],[Uudistuksten mukainen osuus työmarkkinatuesta]:[Uudistuksen mukainen osuus ansiopäivärahasta]])</f>
        <v>384452.18584834173</v>
      </c>
      <c r="I83" s="467">
        <f>Taulukko9[[#This Row],[Uudistuksen mukainen rahoitusvastuu yhteensä]]-Taulukko9[[#This Row],[Nykytila, kuntien osuus työmarkkinatuesta]]</f>
        <v>220733.80584834173</v>
      </c>
    </row>
    <row r="84" spans="1:9">
      <c r="A84" s="456">
        <v>230</v>
      </c>
      <c r="B84" s="456" t="s">
        <v>84</v>
      </c>
      <c r="C84" s="457">
        <v>2216</v>
      </c>
      <c r="D84" s="458">
        <v>75324.62</v>
      </c>
      <c r="E84" s="458">
        <v>194349.85800000001</v>
      </c>
      <c r="F84" s="458">
        <v>8149.9719999999998</v>
      </c>
      <c r="G84" s="458">
        <v>28145.372923991301</v>
      </c>
      <c r="H84" s="459">
        <f>SUM(Taulukko9[[#This Row],[Uudistuksten mukainen osuus työmarkkinatuesta]:[Uudistuksen mukainen osuus ansiopäivärahasta]])</f>
        <v>230645.20292399131</v>
      </c>
      <c r="I84" s="467">
        <f>Taulukko9[[#This Row],[Uudistuksen mukainen rahoitusvastuu yhteensä]]-Taulukko9[[#This Row],[Nykytila, kuntien osuus työmarkkinatuesta]]</f>
        <v>155320.58292399131</v>
      </c>
    </row>
    <row r="85" spans="1:9">
      <c r="A85" s="456">
        <v>231</v>
      </c>
      <c r="B85" s="456" t="s">
        <v>85</v>
      </c>
      <c r="C85" s="457">
        <v>1208</v>
      </c>
      <c r="D85" s="458">
        <v>31726.54</v>
      </c>
      <c r="E85" s="458">
        <v>45117.183499999999</v>
      </c>
      <c r="F85" s="458">
        <v>3569.14</v>
      </c>
      <c r="G85" s="458">
        <v>29819.754154959301</v>
      </c>
      <c r="H85" s="459">
        <f>SUM(Taulukko9[[#This Row],[Uudistuksten mukainen osuus työmarkkinatuesta]:[Uudistuksen mukainen osuus ansiopäivärahasta]])</f>
        <v>78506.077654959299</v>
      </c>
      <c r="I85" s="467">
        <f>Taulukko9[[#This Row],[Uudistuksen mukainen rahoitusvastuu yhteensä]]-Taulukko9[[#This Row],[Nykytila, kuntien osuus työmarkkinatuesta]]</f>
        <v>46779.537654959298</v>
      </c>
    </row>
    <row r="86" spans="1:9">
      <c r="A86" s="456">
        <v>232</v>
      </c>
      <c r="B86" s="456" t="s">
        <v>86</v>
      </c>
      <c r="C86" s="457">
        <v>12618</v>
      </c>
      <c r="D86" s="458">
        <v>630170.19999999995</v>
      </c>
      <c r="E86" s="458">
        <v>1107514.183</v>
      </c>
      <c r="F86" s="458">
        <v>48982.036</v>
      </c>
      <c r="G86" s="458">
        <v>135305.72299529699</v>
      </c>
      <c r="H86" s="459">
        <f>SUM(Taulukko9[[#This Row],[Uudistuksten mukainen osuus työmarkkinatuesta]:[Uudistuksen mukainen osuus ansiopäivärahasta]])</f>
        <v>1291801.9419952971</v>
      </c>
      <c r="I86" s="467">
        <f>Taulukko9[[#This Row],[Uudistuksen mukainen rahoitusvastuu yhteensä]]-Taulukko9[[#This Row],[Nykytila, kuntien osuus työmarkkinatuesta]]</f>
        <v>661631.74199529714</v>
      </c>
    </row>
    <row r="87" spans="1:9">
      <c r="A87" s="456">
        <v>233</v>
      </c>
      <c r="B87" s="456" t="s">
        <v>87</v>
      </c>
      <c r="C87" s="457">
        <v>15165</v>
      </c>
      <c r="D87" s="458">
        <v>437248.07</v>
      </c>
      <c r="E87" s="458">
        <v>703717.53450000007</v>
      </c>
      <c r="F87" s="458">
        <v>65011.803999999996</v>
      </c>
      <c r="G87" s="458">
        <v>116485.904534259</v>
      </c>
      <c r="H87" s="459">
        <f>SUM(Taulukko9[[#This Row],[Uudistuksten mukainen osuus työmarkkinatuesta]:[Uudistuksen mukainen osuus ansiopäivärahasta]])</f>
        <v>885215.24303425907</v>
      </c>
      <c r="I87" s="467">
        <f>Taulukko9[[#This Row],[Uudistuksen mukainen rahoitusvastuu yhteensä]]-Taulukko9[[#This Row],[Nykytila, kuntien osuus työmarkkinatuesta]]</f>
        <v>447967.17303425906</v>
      </c>
    </row>
    <row r="88" spans="1:9">
      <c r="A88" s="456">
        <v>235</v>
      </c>
      <c r="B88" s="456" t="s">
        <v>88</v>
      </c>
      <c r="C88" s="457">
        <v>10270</v>
      </c>
      <c r="D88" s="458">
        <v>553911.76</v>
      </c>
      <c r="E88" s="458">
        <v>553460.50300000003</v>
      </c>
      <c r="F88" s="458">
        <v>17564.544999999998</v>
      </c>
      <c r="G88" s="458">
        <v>90742.524234668905</v>
      </c>
      <c r="H88" s="459">
        <f>SUM(Taulukko9[[#This Row],[Uudistuksten mukainen osuus työmarkkinatuesta]:[Uudistuksen mukainen osuus ansiopäivärahasta]])</f>
        <v>661767.572234669</v>
      </c>
      <c r="I88" s="467">
        <f>Taulukko9[[#This Row],[Uudistuksen mukainen rahoitusvastuu yhteensä]]-Taulukko9[[#This Row],[Nykytila, kuntien osuus työmarkkinatuesta]]</f>
        <v>107855.81223466899</v>
      </c>
    </row>
    <row r="89" spans="1:9">
      <c r="A89" s="456">
        <v>236</v>
      </c>
      <c r="B89" s="456" t="s">
        <v>89</v>
      </c>
      <c r="C89" s="457">
        <v>4137</v>
      </c>
      <c r="D89" s="458">
        <v>177703.8</v>
      </c>
      <c r="E89" s="458">
        <v>251097.32799999998</v>
      </c>
      <c r="F89" s="458">
        <v>7108.125</v>
      </c>
      <c r="G89" s="458">
        <v>39580.777176423697</v>
      </c>
      <c r="H89" s="459">
        <f>SUM(Taulukko9[[#This Row],[Uudistuksten mukainen osuus työmarkkinatuesta]:[Uudistuksen mukainen osuus ansiopäivärahasta]])</f>
        <v>297786.23017642368</v>
      </c>
      <c r="I89" s="467">
        <f>Taulukko9[[#This Row],[Uudistuksen mukainen rahoitusvastuu yhteensä]]-Taulukko9[[#This Row],[Nykytila, kuntien osuus työmarkkinatuesta]]</f>
        <v>120082.43017642369</v>
      </c>
    </row>
    <row r="90" spans="1:9">
      <c r="A90" s="456">
        <v>239</v>
      </c>
      <c r="B90" s="456" t="s">
        <v>90</v>
      </c>
      <c r="C90" s="457">
        <v>2035</v>
      </c>
      <c r="D90" s="458">
        <v>118709.15</v>
      </c>
      <c r="E90" s="458">
        <v>135656.22200000001</v>
      </c>
      <c r="F90" s="458">
        <v>4022.5569999999998</v>
      </c>
      <c r="G90" s="458">
        <v>32013.7351866559</v>
      </c>
      <c r="H90" s="459">
        <f>SUM(Taulukko9[[#This Row],[Uudistuksten mukainen osuus työmarkkinatuesta]:[Uudistuksen mukainen osuus ansiopäivärahasta]])</f>
        <v>171692.5141866559</v>
      </c>
      <c r="I90" s="467">
        <f>Taulukko9[[#This Row],[Uudistuksen mukainen rahoitusvastuu yhteensä]]-Taulukko9[[#This Row],[Nykytila, kuntien osuus työmarkkinatuesta]]</f>
        <v>52983.364186655905</v>
      </c>
    </row>
    <row r="91" spans="1:9">
      <c r="A91" s="456">
        <v>240</v>
      </c>
      <c r="B91" s="456" t="s">
        <v>91</v>
      </c>
      <c r="C91" s="457">
        <v>19371</v>
      </c>
      <c r="D91" s="458">
        <v>1934381.91</v>
      </c>
      <c r="E91" s="458">
        <v>2415544.1809999999</v>
      </c>
      <c r="F91" s="458">
        <v>81552.501999999993</v>
      </c>
      <c r="G91" s="458">
        <v>513727.52654337097</v>
      </c>
      <c r="H91" s="459">
        <f>SUM(Taulukko9[[#This Row],[Uudistuksten mukainen osuus työmarkkinatuesta]:[Uudistuksen mukainen osuus ansiopäivärahasta]])</f>
        <v>3010824.2095433706</v>
      </c>
      <c r="I91" s="467">
        <f>Taulukko9[[#This Row],[Uudistuksen mukainen rahoitusvastuu yhteensä]]-Taulukko9[[#This Row],[Nykytila, kuntien osuus työmarkkinatuesta]]</f>
        <v>1076442.2995433707</v>
      </c>
    </row>
    <row r="92" spans="1:9">
      <c r="A92" s="456">
        <v>241</v>
      </c>
      <c r="B92" s="456" t="s">
        <v>92</v>
      </c>
      <c r="C92" s="457">
        <v>7691</v>
      </c>
      <c r="D92" s="458">
        <v>276311.19</v>
      </c>
      <c r="E92" s="458">
        <v>399437.15950000001</v>
      </c>
      <c r="F92" s="458">
        <v>15908.432000000001</v>
      </c>
      <c r="G92" s="458">
        <v>160018.36358255</v>
      </c>
      <c r="H92" s="459">
        <f>SUM(Taulukko9[[#This Row],[Uudistuksten mukainen osuus työmarkkinatuesta]:[Uudistuksen mukainen osuus ansiopäivärahasta]])</f>
        <v>575363.95508254995</v>
      </c>
      <c r="I92" s="467">
        <f>Taulukko9[[#This Row],[Uudistuksen mukainen rahoitusvastuu yhteensä]]-Taulukko9[[#This Row],[Nykytila, kuntien osuus työmarkkinatuesta]]</f>
        <v>299052.76508254994</v>
      </c>
    </row>
    <row r="93" spans="1:9">
      <c r="A93" s="456">
        <v>244</v>
      </c>
      <c r="B93" s="456" t="s">
        <v>93</v>
      </c>
      <c r="C93" s="457">
        <v>19514</v>
      </c>
      <c r="D93" s="458">
        <v>632632.92000000004</v>
      </c>
      <c r="E93" s="458">
        <v>914425.67449999996</v>
      </c>
      <c r="F93" s="458">
        <v>56899.56</v>
      </c>
      <c r="G93" s="458">
        <v>322421.96896313498</v>
      </c>
      <c r="H93" s="459">
        <f>SUM(Taulukko9[[#This Row],[Uudistuksten mukainen osuus työmarkkinatuesta]:[Uudistuksen mukainen osuus ansiopäivärahasta]])</f>
        <v>1293747.2034631351</v>
      </c>
      <c r="I93" s="467">
        <f>Taulukko9[[#This Row],[Uudistuksen mukainen rahoitusvastuu yhteensä]]-Taulukko9[[#This Row],[Nykytila, kuntien osuus työmarkkinatuesta]]</f>
        <v>661114.28346313501</v>
      </c>
    </row>
    <row r="94" spans="1:9">
      <c r="A94" s="456">
        <v>245</v>
      </c>
      <c r="B94" s="456" t="s">
        <v>94</v>
      </c>
      <c r="C94" s="457">
        <v>38211</v>
      </c>
      <c r="D94" s="458">
        <v>3907342.43</v>
      </c>
      <c r="E94" s="458">
        <v>4918372.977</v>
      </c>
      <c r="F94" s="458">
        <v>212843.09299999999</v>
      </c>
      <c r="G94" s="458">
        <v>506688.25990866398</v>
      </c>
      <c r="H94" s="459">
        <f>SUM(Taulukko9[[#This Row],[Uudistuksten mukainen osuus työmarkkinatuesta]:[Uudistuksen mukainen osuus ansiopäivärahasta]])</f>
        <v>5637904.3299086643</v>
      </c>
      <c r="I94" s="467">
        <f>Taulukko9[[#This Row],[Uudistuksen mukainen rahoitusvastuu yhteensä]]-Taulukko9[[#This Row],[Nykytila, kuntien osuus työmarkkinatuesta]]</f>
        <v>1730561.8999086642</v>
      </c>
    </row>
    <row r="95" spans="1:9">
      <c r="A95" s="456">
        <v>249</v>
      </c>
      <c r="B95" s="456" t="s">
        <v>95</v>
      </c>
      <c r="C95" s="457">
        <v>9184</v>
      </c>
      <c r="D95" s="458">
        <v>431663.63</v>
      </c>
      <c r="E95" s="458">
        <v>1048670.189</v>
      </c>
      <c r="F95" s="458">
        <v>41388.355000000003</v>
      </c>
      <c r="G95" s="458">
        <v>152852.35435366601</v>
      </c>
      <c r="H95" s="459">
        <f>SUM(Taulukko9[[#This Row],[Uudistuksten mukainen osuus työmarkkinatuesta]:[Uudistuksen mukainen osuus ansiopäivärahasta]])</f>
        <v>1242910.8983536661</v>
      </c>
      <c r="I95" s="467">
        <f>Taulukko9[[#This Row],[Uudistuksen mukainen rahoitusvastuu yhteensä]]-Taulukko9[[#This Row],[Nykytila, kuntien osuus työmarkkinatuesta]]</f>
        <v>811247.26835366606</v>
      </c>
    </row>
    <row r="96" spans="1:9">
      <c r="A96" s="456">
        <v>250</v>
      </c>
      <c r="B96" s="456" t="s">
        <v>96</v>
      </c>
      <c r="C96" s="457">
        <v>1749</v>
      </c>
      <c r="D96" s="458">
        <v>71814.47</v>
      </c>
      <c r="E96" s="458">
        <v>133552.71900000001</v>
      </c>
      <c r="F96" s="458">
        <v>7340.9840000000004</v>
      </c>
      <c r="G96" s="458">
        <v>26967.4011964653</v>
      </c>
      <c r="H96" s="459">
        <f>SUM(Taulukko9[[#This Row],[Uudistuksten mukainen osuus työmarkkinatuesta]:[Uudistuksen mukainen osuus ansiopäivärahasta]])</f>
        <v>167861.10419646531</v>
      </c>
      <c r="I96" s="467">
        <f>Taulukko9[[#This Row],[Uudistuksen mukainen rahoitusvastuu yhteensä]]-Taulukko9[[#This Row],[Nykytila, kuntien osuus työmarkkinatuesta]]</f>
        <v>96046.634196465311</v>
      </c>
    </row>
    <row r="97" spans="1:9">
      <c r="A97" s="456">
        <v>256</v>
      </c>
      <c r="B97" s="456" t="s">
        <v>97</v>
      </c>
      <c r="C97" s="457">
        <v>1523</v>
      </c>
      <c r="D97" s="458">
        <v>69115.22</v>
      </c>
      <c r="E97" s="458">
        <v>83688.561000000002</v>
      </c>
      <c r="F97" s="458">
        <v>3910.453</v>
      </c>
      <c r="G97" s="458">
        <v>38135.926282913097</v>
      </c>
      <c r="H97" s="459">
        <f>SUM(Taulukko9[[#This Row],[Uudistuksten mukainen osuus työmarkkinatuesta]:[Uudistuksen mukainen osuus ansiopäivärahasta]])</f>
        <v>125734.9402829131</v>
      </c>
      <c r="I97" s="467">
        <f>Taulukko9[[#This Row],[Uudistuksen mukainen rahoitusvastuu yhteensä]]-Taulukko9[[#This Row],[Nykytila, kuntien osuus työmarkkinatuesta]]</f>
        <v>56619.720282913098</v>
      </c>
    </row>
    <row r="98" spans="1:9">
      <c r="A98" s="456">
        <v>257</v>
      </c>
      <c r="B98" s="456" t="s">
        <v>98</v>
      </c>
      <c r="C98" s="457">
        <v>41154</v>
      </c>
      <c r="D98" s="458">
        <v>2654177.5699999998</v>
      </c>
      <c r="E98" s="458">
        <v>3266121.8614999996</v>
      </c>
      <c r="F98" s="458">
        <v>134816.92800000001</v>
      </c>
      <c r="G98" s="458">
        <v>457138.98123434401</v>
      </c>
      <c r="H98" s="459">
        <f>SUM(Taulukko9[[#This Row],[Uudistuksten mukainen osuus työmarkkinatuesta]:[Uudistuksen mukainen osuus ansiopäivärahasta]])</f>
        <v>3858077.7707343437</v>
      </c>
      <c r="I98" s="467">
        <f>Taulukko9[[#This Row],[Uudistuksen mukainen rahoitusvastuu yhteensä]]-Taulukko9[[#This Row],[Nykytila, kuntien osuus työmarkkinatuesta]]</f>
        <v>1203900.2007343438</v>
      </c>
    </row>
    <row r="99" spans="1:9">
      <c r="A99" s="456">
        <v>260</v>
      </c>
      <c r="B99" s="456" t="s">
        <v>99</v>
      </c>
      <c r="C99" s="457">
        <v>9689</v>
      </c>
      <c r="D99" s="458">
        <v>863451.18</v>
      </c>
      <c r="E99" s="458">
        <v>1016762.799</v>
      </c>
      <c r="F99" s="458">
        <v>35120.612999999998</v>
      </c>
      <c r="G99" s="458">
        <v>264504.469762369</v>
      </c>
      <c r="H99" s="459">
        <f>SUM(Taulukko9[[#This Row],[Uudistuksten mukainen osuus työmarkkinatuesta]:[Uudistuksen mukainen osuus ansiopäivärahasta]])</f>
        <v>1316387.8817623691</v>
      </c>
      <c r="I99" s="467">
        <f>Taulukko9[[#This Row],[Uudistuksen mukainen rahoitusvastuu yhteensä]]-Taulukko9[[#This Row],[Nykytila, kuntien osuus työmarkkinatuesta]]</f>
        <v>452936.70176236902</v>
      </c>
    </row>
    <row r="100" spans="1:9">
      <c r="A100" s="456">
        <v>261</v>
      </c>
      <c r="B100" s="456" t="s">
        <v>100</v>
      </c>
      <c r="C100" s="457">
        <v>6822</v>
      </c>
      <c r="D100" s="458">
        <v>220131.91</v>
      </c>
      <c r="E100" s="458">
        <v>279190.70199999999</v>
      </c>
      <c r="F100" s="458">
        <v>18600.561000000002</v>
      </c>
      <c r="G100" s="458">
        <v>139648.763560472</v>
      </c>
      <c r="H100" s="459">
        <f>SUM(Taulukko9[[#This Row],[Uudistuksten mukainen osuus työmarkkinatuesta]:[Uudistuksen mukainen osuus ansiopäivärahasta]])</f>
        <v>437440.02656047198</v>
      </c>
      <c r="I100" s="467">
        <f>Taulukko9[[#This Row],[Uudistuksen mukainen rahoitusvastuu yhteensä]]-Taulukko9[[#This Row],[Nykytila, kuntien osuus työmarkkinatuesta]]</f>
        <v>217308.11656047197</v>
      </c>
    </row>
    <row r="101" spans="1:9">
      <c r="A101" s="456">
        <v>263</v>
      </c>
      <c r="B101" s="456" t="s">
        <v>101</v>
      </c>
      <c r="C101" s="457">
        <v>7475</v>
      </c>
      <c r="D101" s="458">
        <v>493623.37</v>
      </c>
      <c r="E101" s="458">
        <v>645051.44699999993</v>
      </c>
      <c r="F101" s="458">
        <v>38743.275999999998</v>
      </c>
      <c r="G101" s="458">
        <v>131296.33371890199</v>
      </c>
      <c r="H101" s="459">
        <f>SUM(Taulukko9[[#This Row],[Uudistuksten mukainen osuus työmarkkinatuesta]:[Uudistuksen mukainen osuus ansiopäivärahasta]])</f>
        <v>815091.05671890185</v>
      </c>
      <c r="I101" s="467">
        <f>Taulukko9[[#This Row],[Uudistuksen mukainen rahoitusvastuu yhteensä]]-Taulukko9[[#This Row],[Nykytila, kuntien osuus työmarkkinatuesta]]</f>
        <v>321467.68671890185</v>
      </c>
    </row>
    <row r="102" spans="1:9">
      <c r="A102" s="456">
        <v>265</v>
      </c>
      <c r="B102" s="456" t="s">
        <v>102</v>
      </c>
      <c r="C102" s="457">
        <v>1035</v>
      </c>
      <c r="D102" s="458">
        <v>104675.26</v>
      </c>
      <c r="E102" s="458">
        <v>122742.584</v>
      </c>
      <c r="F102" s="458">
        <v>3646.683</v>
      </c>
      <c r="G102" s="458">
        <v>20124.369239138399</v>
      </c>
      <c r="H102" s="459">
        <f>SUM(Taulukko9[[#This Row],[Uudistuksten mukainen osuus työmarkkinatuesta]:[Uudistuksen mukainen osuus ansiopäivärahasta]])</f>
        <v>146513.6362391384</v>
      </c>
      <c r="I102" s="467">
        <f>Taulukko9[[#This Row],[Uudistuksen mukainen rahoitusvastuu yhteensä]]-Taulukko9[[#This Row],[Nykytila, kuntien osuus työmarkkinatuesta]]</f>
        <v>41838.376239138408</v>
      </c>
    </row>
    <row r="103" spans="1:9">
      <c r="A103" s="456">
        <v>271</v>
      </c>
      <c r="B103" s="456" t="s">
        <v>103</v>
      </c>
      <c r="C103" s="457">
        <v>6766</v>
      </c>
      <c r="D103" s="458">
        <v>408862.65</v>
      </c>
      <c r="E103" s="458">
        <v>797172.03799999994</v>
      </c>
      <c r="F103" s="458">
        <v>17334.865000000002</v>
      </c>
      <c r="G103" s="458">
        <v>86222.9247064019</v>
      </c>
      <c r="H103" s="459">
        <f>SUM(Taulukko9[[#This Row],[Uudistuksten mukainen osuus työmarkkinatuesta]:[Uudistuksen mukainen osuus ansiopäivärahasta]])</f>
        <v>900729.82770640182</v>
      </c>
      <c r="I103" s="467">
        <f>Taulukko9[[#This Row],[Uudistuksen mukainen rahoitusvastuu yhteensä]]-Taulukko9[[#This Row],[Nykytila, kuntien osuus työmarkkinatuesta]]</f>
        <v>491867.1777064018</v>
      </c>
    </row>
    <row r="104" spans="1:9">
      <c r="A104" s="456">
        <v>272</v>
      </c>
      <c r="B104" s="456" t="s">
        <v>104</v>
      </c>
      <c r="C104" s="457">
        <v>48295</v>
      </c>
      <c r="D104" s="458">
        <v>3265394.07</v>
      </c>
      <c r="E104" s="458">
        <v>4236736.2215</v>
      </c>
      <c r="F104" s="458">
        <v>174971.47200000001</v>
      </c>
      <c r="G104" s="458">
        <v>577558.20428311895</v>
      </c>
      <c r="H104" s="459">
        <f>SUM(Taulukko9[[#This Row],[Uudistuksten mukainen osuus työmarkkinatuesta]:[Uudistuksen mukainen osuus ansiopäivärahasta]])</f>
        <v>4989265.8977831192</v>
      </c>
      <c r="I104" s="467">
        <f>Taulukko9[[#This Row],[Uudistuksen mukainen rahoitusvastuu yhteensä]]-Taulukko9[[#This Row],[Nykytila, kuntien osuus työmarkkinatuesta]]</f>
        <v>1723871.8277831194</v>
      </c>
    </row>
    <row r="105" spans="1:9">
      <c r="A105" s="456">
        <v>273</v>
      </c>
      <c r="B105" s="456" t="s">
        <v>105</v>
      </c>
      <c r="C105" s="457">
        <v>4011</v>
      </c>
      <c r="D105" s="458">
        <v>139201.12</v>
      </c>
      <c r="E105" s="458">
        <v>171874.1005</v>
      </c>
      <c r="F105" s="458">
        <v>8819.7839999999997</v>
      </c>
      <c r="G105" s="458">
        <v>68530.881562363706</v>
      </c>
      <c r="H105" s="459">
        <f>SUM(Taulukko9[[#This Row],[Uudistuksten mukainen osuus työmarkkinatuesta]:[Uudistuksen mukainen osuus ansiopäivärahasta]])</f>
        <v>249224.76606236369</v>
      </c>
      <c r="I105" s="467">
        <f>Taulukko9[[#This Row],[Uudistuksen mukainen rahoitusvastuu yhteensä]]-Taulukko9[[#This Row],[Nykytila, kuntien osuus työmarkkinatuesta]]</f>
        <v>110023.6460623637</v>
      </c>
    </row>
    <row r="106" spans="1:9">
      <c r="A106" s="456">
        <v>275</v>
      </c>
      <c r="B106" s="456" t="s">
        <v>106</v>
      </c>
      <c r="C106" s="457">
        <v>2499</v>
      </c>
      <c r="D106" s="458">
        <v>105826.18</v>
      </c>
      <c r="E106" s="458">
        <v>185387.11300000001</v>
      </c>
      <c r="F106" s="458">
        <v>12867.866</v>
      </c>
      <c r="G106" s="458">
        <v>51569.1243868776</v>
      </c>
      <c r="H106" s="459">
        <f>SUM(Taulukko9[[#This Row],[Uudistuksten mukainen osuus työmarkkinatuesta]:[Uudistuksen mukainen osuus ansiopäivärahasta]])</f>
        <v>249824.10338687763</v>
      </c>
      <c r="I106" s="467">
        <f>Taulukko9[[#This Row],[Uudistuksen mukainen rahoitusvastuu yhteensä]]-Taulukko9[[#This Row],[Nykytila, kuntien osuus työmarkkinatuesta]]</f>
        <v>143997.92338687764</v>
      </c>
    </row>
    <row r="107" spans="1:9">
      <c r="A107" s="456">
        <v>276</v>
      </c>
      <c r="B107" s="456" t="s">
        <v>107</v>
      </c>
      <c r="C107" s="457">
        <v>15136</v>
      </c>
      <c r="D107" s="458">
        <v>1102017.43</v>
      </c>
      <c r="E107" s="458">
        <v>1312130.1740000001</v>
      </c>
      <c r="F107" s="458">
        <v>35070.398000000001</v>
      </c>
      <c r="G107" s="458">
        <v>261461.24912731201</v>
      </c>
      <c r="H107" s="459">
        <f>SUM(Taulukko9[[#This Row],[Uudistuksten mukainen osuus työmarkkinatuesta]:[Uudistuksen mukainen osuus ansiopäivärahasta]])</f>
        <v>1608661.8211273123</v>
      </c>
      <c r="I107" s="467">
        <f>Taulukko9[[#This Row],[Uudistuksen mukainen rahoitusvastuu yhteensä]]-Taulukko9[[#This Row],[Nykytila, kuntien osuus työmarkkinatuesta]]</f>
        <v>506644.39112731232</v>
      </c>
    </row>
    <row r="108" spans="1:9">
      <c r="A108" s="456">
        <v>280</v>
      </c>
      <c r="B108" s="456" t="s">
        <v>108</v>
      </c>
      <c r="C108" s="457">
        <v>2015</v>
      </c>
      <c r="D108" s="458">
        <v>51504.95</v>
      </c>
      <c r="E108" s="458">
        <v>107787.5445</v>
      </c>
      <c r="F108" s="458">
        <v>10988.6</v>
      </c>
      <c r="G108" s="458">
        <v>19574.283661897902</v>
      </c>
      <c r="H108" s="459">
        <f>SUM(Taulukko9[[#This Row],[Uudistuksten mukainen osuus työmarkkinatuesta]:[Uudistuksen mukainen osuus ansiopäivärahasta]])</f>
        <v>138350.4281618979</v>
      </c>
      <c r="I108" s="467">
        <f>Taulukko9[[#This Row],[Uudistuksen mukainen rahoitusvastuu yhteensä]]-Taulukko9[[#This Row],[Nykytila, kuntien osuus työmarkkinatuesta]]</f>
        <v>86845.478161897903</v>
      </c>
    </row>
    <row r="109" spans="1:9">
      <c r="A109" s="456">
        <v>284</v>
      </c>
      <c r="B109" s="456" t="s">
        <v>109</v>
      </c>
      <c r="C109" s="457">
        <v>2207</v>
      </c>
      <c r="D109" s="458">
        <v>73049.56</v>
      </c>
      <c r="E109" s="458">
        <v>143316.04800000001</v>
      </c>
      <c r="F109" s="458">
        <v>3718.62</v>
      </c>
      <c r="G109" s="458">
        <v>13039.2817767577</v>
      </c>
      <c r="H109" s="459">
        <f>SUM(Taulukko9[[#This Row],[Uudistuksten mukainen osuus työmarkkinatuesta]:[Uudistuksen mukainen osuus ansiopäivärahasta]])</f>
        <v>160073.94977675771</v>
      </c>
      <c r="I109" s="467">
        <f>Taulukko9[[#This Row],[Uudistuksen mukainen rahoitusvastuu yhteensä]]-Taulukko9[[#This Row],[Nykytila, kuntien osuus työmarkkinatuesta]]</f>
        <v>87024.389776757715</v>
      </c>
    </row>
    <row r="110" spans="1:9">
      <c r="A110" s="456">
        <v>285</v>
      </c>
      <c r="B110" s="456" t="s">
        <v>110</v>
      </c>
      <c r="C110" s="457">
        <v>50500</v>
      </c>
      <c r="D110" s="458">
        <v>6559927.9299999997</v>
      </c>
      <c r="E110" s="458">
        <v>7967465.2455000002</v>
      </c>
      <c r="F110" s="458">
        <v>257346.622</v>
      </c>
      <c r="G110" s="458">
        <v>867028.05221876595</v>
      </c>
      <c r="H110" s="459">
        <f>SUM(Taulukko9[[#This Row],[Uudistuksten mukainen osuus työmarkkinatuesta]:[Uudistuksen mukainen osuus ansiopäivärahasta]])</f>
        <v>9091839.9197187666</v>
      </c>
      <c r="I110" s="467">
        <f>Taulukko9[[#This Row],[Uudistuksen mukainen rahoitusvastuu yhteensä]]-Taulukko9[[#This Row],[Nykytila, kuntien osuus työmarkkinatuesta]]</f>
        <v>2531911.9897187669</v>
      </c>
    </row>
    <row r="111" spans="1:9">
      <c r="A111" s="456">
        <v>286</v>
      </c>
      <c r="B111" s="456" t="s">
        <v>111</v>
      </c>
      <c r="C111" s="457">
        <v>78880</v>
      </c>
      <c r="D111" s="458">
        <v>6848401.4199999999</v>
      </c>
      <c r="E111" s="458">
        <v>8303908.6069999998</v>
      </c>
      <c r="F111" s="458">
        <v>365176.81800000003</v>
      </c>
      <c r="G111" s="458">
        <v>1469871.3981940099</v>
      </c>
      <c r="H111" s="459">
        <f>SUM(Taulukko9[[#This Row],[Uudistuksten mukainen osuus työmarkkinatuesta]:[Uudistuksen mukainen osuus ansiopäivärahasta]])</f>
        <v>10138956.82319401</v>
      </c>
      <c r="I111" s="467">
        <f>Taulukko9[[#This Row],[Uudistuksen mukainen rahoitusvastuu yhteensä]]-Taulukko9[[#This Row],[Nykytila, kuntien osuus työmarkkinatuesta]]</f>
        <v>3290555.4031940103</v>
      </c>
    </row>
    <row r="112" spans="1:9">
      <c r="A112" s="456">
        <v>287</v>
      </c>
      <c r="B112" s="456" t="s">
        <v>112</v>
      </c>
      <c r="C112" s="457">
        <v>6199</v>
      </c>
      <c r="D112" s="458">
        <v>206523.23</v>
      </c>
      <c r="E112" s="458">
        <v>242173.04749999999</v>
      </c>
      <c r="F112" s="458">
        <v>12280.77</v>
      </c>
      <c r="G112" s="458">
        <v>41415.083918381599</v>
      </c>
      <c r="H112" s="459">
        <f>SUM(Taulukko9[[#This Row],[Uudistuksten mukainen osuus työmarkkinatuesta]:[Uudistuksen mukainen osuus ansiopäivärahasta]])</f>
        <v>295868.9014183816</v>
      </c>
      <c r="I112" s="467">
        <f>Taulukko9[[#This Row],[Uudistuksen mukainen rahoitusvastuu yhteensä]]-Taulukko9[[#This Row],[Nykytila, kuntien osuus työmarkkinatuesta]]</f>
        <v>89345.671418381593</v>
      </c>
    </row>
    <row r="113" spans="1:9">
      <c r="A113" s="456">
        <v>288</v>
      </c>
      <c r="B113" s="456" t="s">
        <v>113</v>
      </c>
      <c r="C113" s="457">
        <v>6368</v>
      </c>
      <c r="D113" s="458">
        <v>116524.69</v>
      </c>
      <c r="E113" s="458">
        <v>233021.04300000001</v>
      </c>
      <c r="F113" s="458">
        <v>33735.546999999999</v>
      </c>
      <c r="G113" s="458">
        <v>41373.370082604197</v>
      </c>
      <c r="H113" s="459">
        <f>SUM(Taulukko9[[#This Row],[Uudistuksten mukainen osuus työmarkkinatuesta]:[Uudistuksen mukainen osuus ansiopäivärahasta]])</f>
        <v>308129.9600826042</v>
      </c>
      <c r="I113" s="467">
        <f>Taulukko9[[#This Row],[Uudistuksen mukainen rahoitusvastuu yhteensä]]-Taulukko9[[#This Row],[Nykytila, kuntien osuus työmarkkinatuesta]]</f>
        <v>191605.2700826042</v>
      </c>
    </row>
    <row r="114" spans="1:9">
      <c r="A114" s="456">
        <v>290</v>
      </c>
      <c r="B114" s="456" t="s">
        <v>114</v>
      </c>
      <c r="C114" s="457">
        <v>7582</v>
      </c>
      <c r="D114" s="458">
        <v>425599.16</v>
      </c>
      <c r="E114" s="458">
        <v>546194.4915</v>
      </c>
      <c r="F114" s="458">
        <v>28403.136999999999</v>
      </c>
      <c r="G114" s="458">
        <v>183604.02130097401</v>
      </c>
      <c r="H114" s="459">
        <f>SUM(Taulukko9[[#This Row],[Uudistuksten mukainen osuus työmarkkinatuesta]:[Uudistuksen mukainen osuus ansiopäivärahasta]])</f>
        <v>758201.64980097394</v>
      </c>
      <c r="I114" s="467">
        <f>Taulukko9[[#This Row],[Uudistuksen mukainen rahoitusvastuu yhteensä]]-Taulukko9[[#This Row],[Nykytila, kuntien osuus työmarkkinatuesta]]</f>
        <v>332602.48980097397</v>
      </c>
    </row>
    <row r="115" spans="1:9">
      <c r="A115" s="456">
        <v>291</v>
      </c>
      <c r="B115" s="456" t="s">
        <v>115</v>
      </c>
      <c r="C115" s="457">
        <v>2092</v>
      </c>
      <c r="D115" s="458">
        <v>68324.149999999994</v>
      </c>
      <c r="E115" s="458">
        <v>110891.86</v>
      </c>
      <c r="F115" s="458">
        <v>10327.821</v>
      </c>
      <c r="G115" s="458">
        <v>51325.707787633597</v>
      </c>
      <c r="H115" s="459">
        <f>SUM(Taulukko9[[#This Row],[Uudistuksten mukainen osuus työmarkkinatuesta]:[Uudistuksen mukainen osuus ansiopäivärahasta]])</f>
        <v>172545.38878763359</v>
      </c>
      <c r="I115" s="467">
        <f>Taulukko9[[#This Row],[Uudistuksen mukainen rahoitusvastuu yhteensä]]-Taulukko9[[#This Row],[Nykytila, kuntien osuus työmarkkinatuesta]]</f>
        <v>104221.2387876336</v>
      </c>
    </row>
    <row r="116" spans="1:9">
      <c r="A116" s="456">
        <v>297</v>
      </c>
      <c r="B116" s="456" t="s">
        <v>116</v>
      </c>
      <c r="C116" s="457">
        <v>124021</v>
      </c>
      <c r="D116" s="458">
        <v>12065945.949999999</v>
      </c>
      <c r="E116" s="458">
        <v>12658493.726500001</v>
      </c>
      <c r="F116" s="458">
        <v>531836.13399999996</v>
      </c>
      <c r="G116" s="458">
        <v>1442204.5159360601</v>
      </c>
      <c r="H116" s="459">
        <f>SUM(Taulukko9[[#This Row],[Uudistuksten mukainen osuus työmarkkinatuesta]:[Uudistuksen mukainen osuus ansiopäivärahasta]])</f>
        <v>14632534.37643606</v>
      </c>
      <c r="I116" s="467">
        <f>Taulukko9[[#This Row],[Uudistuksen mukainen rahoitusvastuu yhteensä]]-Taulukko9[[#This Row],[Nykytila, kuntien osuus työmarkkinatuesta]]</f>
        <v>2566588.426436061</v>
      </c>
    </row>
    <row r="117" spans="1:9">
      <c r="A117" s="456">
        <v>300</v>
      </c>
      <c r="B117" s="456" t="s">
        <v>117</v>
      </c>
      <c r="C117" s="457">
        <v>3381</v>
      </c>
      <c r="D117" s="458">
        <v>88631.98</v>
      </c>
      <c r="E117" s="458">
        <v>131203.755</v>
      </c>
      <c r="F117" s="458">
        <v>9086.0069999999996</v>
      </c>
      <c r="G117" s="458">
        <v>16678.672363216901</v>
      </c>
      <c r="H117" s="459">
        <f>SUM(Taulukko9[[#This Row],[Uudistuksten mukainen osuus työmarkkinatuesta]:[Uudistuksen mukainen osuus ansiopäivärahasta]])</f>
        <v>156968.43436321692</v>
      </c>
      <c r="I117" s="467">
        <f>Taulukko9[[#This Row],[Uudistuksen mukainen rahoitusvastuu yhteensä]]-Taulukko9[[#This Row],[Nykytila, kuntien osuus työmarkkinatuesta]]</f>
        <v>68336.454363216923</v>
      </c>
    </row>
    <row r="118" spans="1:9">
      <c r="A118" s="456">
        <v>301</v>
      </c>
      <c r="B118" s="456" t="s">
        <v>118</v>
      </c>
      <c r="C118" s="457">
        <v>19759</v>
      </c>
      <c r="D118" s="458">
        <v>940354.72</v>
      </c>
      <c r="E118" s="458">
        <v>1403711.5860000001</v>
      </c>
      <c r="F118" s="458">
        <v>72185.010999999999</v>
      </c>
      <c r="G118" s="458">
        <v>188678.09866554101</v>
      </c>
      <c r="H118" s="459">
        <f>SUM(Taulukko9[[#This Row],[Uudistuksten mukainen osuus työmarkkinatuesta]:[Uudistuksen mukainen osuus ansiopäivärahasta]])</f>
        <v>1664574.6956655411</v>
      </c>
      <c r="I118" s="467">
        <f>Taulukko9[[#This Row],[Uudistuksen mukainen rahoitusvastuu yhteensä]]-Taulukko9[[#This Row],[Nykytila, kuntien osuus työmarkkinatuesta]]</f>
        <v>724219.97566554113</v>
      </c>
    </row>
    <row r="119" spans="1:9">
      <c r="A119" s="456">
        <v>304</v>
      </c>
      <c r="B119" s="456" t="s">
        <v>119</v>
      </c>
      <c r="C119" s="457">
        <v>949</v>
      </c>
      <c r="D119" s="458">
        <v>26708.89</v>
      </c>
      <c r="E119" s="458">
        <v>23827.338</v>
      </c>
      <c r="F119" s="458">
        <v>3545.473</v>
      </c>
      <c r="G119" s="458">
        <v>16729.914863849801</v>
      </c>
      <c r="H119" s="459">
        <f>SUM(Taulukko9[[#This Row],[Uudistuksten mukainen osuus työmarkkinatuesta]:[Uudistuksen mukainen osuus ansiopäivärahasta]])</f>
        <v>44102.725863849802</v>
      </c>
      <c r="I119" s="467">
        <f>Taulukko9[[#This Row],[Uudistuksen mukainen rahoitusvastuu yhteensä]]-Taulukko9[[#This Row],[Nykytila, kuntien osuus työmarkkinatuesta]]</f>
        <v>17393.835863849803</v>
      </c>
    </row>
    <row r="120" spans="1:9">
      <c r="A120" s="456">
        <v>305</v>
      </c>
      <c r="B120" s="456" t="s">
        <v>120</v>
      </c>
      <c r="C120" s="457">
        <v>15019</v>
      </c>
      <c r="D120" s="458">
        <v>524934.87</v>
      </c>
      <c r="E120" s="458">
        <v>1002446.2355</v>
      </c>
      <c r="F120" s="458">
        <v>47920.959000000003</v>
      </c>
      <c r="G120" s="458">
        <v>300771.33927676303</v>
      </c>
      <c r="H120" s="459">
        <f>SUM(Taulukko9[[#This Row],[Uudistuksten mukainen osuus työmarkkinatuesta]:[Uudistuksen mukainen osuus ansiopäivärahasta]])</f>
        <v>1351138.5337767629</v>
      </c>
      <c r="I120" s="467">
        <f>Taulukko9[[#This Row],[Uudistuksen mukainen rahoitusvastuu yhteensä]]-Taulukko9[[#This Row],[Nykytila, kuntien osuus työmarkkinatuesta]]</f>
        <v>826203.6637767629</v>
      </c>
    </row>
    <row r="121" spans="1:9">
      <c r="A121" s="456">
        <v>309</v>
      </c>
      <c r="B121" s="456" t="s">
        <v>121</v>
      </c>
      <c r="C121" s="457">
        <v>6409</v>
      </c>
      <c r="D121" s="458">
        <v>652229.48</v>
      </c>
      <c r="E121" s="458">
        <v>958556.76699999999</v>
      </c>
      <c r="F121" s="458">
        <v>24887.987000000001</v>
      </c>
      <c r="G121" s="458">
        <v>125235.096671463</v>
      </c>
      <c r="H121" s="459">
        <f>SUM(Taulukko9[[#This Row],[Uudistuksten mukainen osuus työmarkkinatuesta]:[Uudistuksen mukainen osuus ansiopäivärahasta]])</f>
        <v>1108679.8506714629</v>
      </c>
      <c r="I121" s="467">
        <f>Taulukko9[[#This Row],[Uudistuksen mukainen rahoitusvastuu yhteensä]]-Taulukko9[[#This Row],[Nykytila, kuntien osuus työmarkkinatuesta]]</f>
        <v>456450.37067146297</v>
      </c>
    </row>
    <row r="122" spans="1:9">
      <c r="A122" s="456">
        <v>312</v>
      </c>
      <c r="B122" s="456" t="s">
        <v>122</v>
      </c>
      <c r="C122" s="457">
        <v>1174</v>
      </c>
      <c r="D122" s="458">
        <v>17786.02</v>
      </c>
      <c r="E122" s="458">
        <v>79258.873000000007</v>
      </c>
      <c r="F122" s="458">
        <v>5483.33</v>
      </c>
      <c r="G122" s="458">
        <v>20555.680550312201</v>
      </c>
      <c r="H122" s="459">
        <f>SUM(Taulukko9[[#This Row],[Uudistuksten mukainen osuus työmarkkinatuesta]:[Uudistuksen mukainen osuus ansiopäivärahasta]])</f>
        <v>105297.88355031221</v>
      </c>
      <c r="I122" s="467">
        <f>Taulukko9[[#This Row],[Uudistuksen mukainen rahoitusvastuu yhteensä]]-Taulukko9[[#This Row],[Nykytila, kuntien osuus työmarkkinatuesta]]</f>
        <v>87511.863550312206</v>
      </c>
    </row>
    <row r="123" spans="1:9">
      <c r="A123" s="456">
        <v>316</v>
      </c>
      <c r="B123" s="456" t="s">
        <v>123</v>
      </c>
      <c r="C123" s="457">
        <v>4114</v>
      </c>
      <c r="D123" s="458">
        <v>207270.09</v>
      </c>
      <c r="E123" s="458">
        <v>335120.33850000001</v>
      </c>
      <c r="F123" s="458">
        <v>15392.974</v>
      </c>
      <c r="G123" s="458">
        <v>78222.499855828704</v>
      </c>
      <c r="H123" s="459">
        <f>SUM(Taulukko9[[#This Row],[Uudistuksten mukainen osuus työmarkkinatuesta]:[Uudistuksen mukainen osuus ansiopäivärahasta]])</f>
        <v>428735.8123558287</v>
      </c>
      <c r="I123" s="467">
        <f>Taulukko9[[#This Row],[Uudistuksen mukainen rahoitusvastuu yhteensä]]-Taulukko9[[#This Row],[Nykytila, kuntien osuus työmarkkinatuesta]]</f>
        <v>221465.72235582871</v>
      </c>
    </row>
    <row r="124" spans="1:9">
      <c r="A124" s="456">
        <v>317</v>
      </c>
      <c r="B124" s="456" t="s">
        <v>124</v>
      </c>
      <c r="C124" s="457">
        <v>2440</v>
      </c>
      <c r="D124" s="458">
        <v>109130.93</v>
      </c>
      <c r="E124" s="458">
        <v>140446.19500000001</v>
      </c>
      <c r="F124" s="458">
        <v>14856.23</v>
      </c>
      <c r="G124" s="458">
        <v>25990.900143372401</v>
      </c>
      <c r="H124" s="459">
        <f>SUM(Taulukko9[[#This Row],[Uudistuksten mukainen osuus työmarkkinatuesta]:[Uudistuksen mukainen osuus ansiopäivärahasta]])</f>
        <v>181293.32514337241</v>
      </c>
      <c r="I124" s="467">
        <f>Taulukko9[[#This Row],[Uudistuksen mukainen rahoitusvastuu yhteensä]]-Taulukko9[[#This Row],[Nykytila, kuntien osuus työmarkkinatuesta]]</f>
        <v>72162.395143372414</v>
      </c>
    </row>
    <row r="125" spans="1:9">
      <c r="A125" s="456">
        <v>320</v>
      </c>
      <c r="B125" s="456" t="s">
        <v>125</v>
      </c>
      <c r="C125" s="457">
        <v>7030</v>
      </c>
      <c r="D125" s="458">
        <v>450963.05</v>
      </c>
      <c r="E125" s="458">
        <v>576483.70549999992</v>
      </c>
      <c r="F125" s="458">
        <v>21741.544000000002</v>
      </c>
      <c r="G125" s="458">
        <v>190052.138257738</v>
      </c>
      <c r="H125" s="459">
        <f>SUM(Taulukko9[[#This Row],[Uudistuksten mukainen osuus työmarkkinatuesta]:[Uudistuksen mukainen osuus ansiopäivärahasta]])</f>
        <v>788277.38775773789</v>
      </c>
      <c r="I125" s="467">
        <f>Taulukko9[[#This Row],[Uudistuksen mukainen rahoitusvastuu yhteensä]]-Taulukko9[[#This Row],[Nykytila, kuntien osuus työmarkkinatuesta]]</f>
        <v>337314.3377577379</v>
      </c>
    </row>
    <row r="126" spans="1:9">
      <c r="A126" s="456">
        <v>322</v>
      </c>
      <c r="B126" s="456" t="s">
        <v>126</v>
      </c>
      <c r="C126" s="457">
        <v>6462</v>
      </c>
      <c r="D126" s="458">
        <v>318297.78000000003</v>
      </c>
      <c r="E126" s="458">
        <v>367939.85200000001</v>
      </c>
      <c r="F126" s="458">
        <v>16084.377</v>
      </c>
      <c r="G126" s="458">
        <v>55555.707967064503</v>
      </c>
      <c r="H126" s="459">
        <f>SUM(Taulukko9[[#This Row],[Uudistuksten mukainen osuus työmarkkinatuesta]:[Uudistuksen mukainen osuus ansiopäivärahasta]])</f>
        <v>439579.93696706451</v>
      </c>
      <c r="I126" s="467">
        <f>Taulukko9[[#This Row],[Uudistuksen mukainen rahoitusvastuu yhteensä]]-Taulukko9[[#This Row],[Nykytila, kuntien osuus työmarkkinatuesta]]</f>
        <v>121282.15696706448</v>
      </c>
    </row>
    <row r="127" spans="1:9">
      <c r="A127" s="456">
        <v>398</v>
      </c>
      <c r="B127" s="456" t="s">
        <v>127</v>
      </c>
      <c r="C127" s="457">
        <v>120693</v>
      </c>
      <c r="D127" s="458">
        <v>20131583.550000001</v>
      </c>
      <c r="E127" s="458">
        <v>20885973.565499999</v>
      </c>
      <c r="F127" s="458">
        <v>610817.68599999999</v>
      </c>
      <c r="G127" s="458">
        <v>1741839.4531566999</v>
      </c>
      <c r="H127" s="459">
        <f>SUM(Taulukko9[[#This Row],[Uudistuksten mukainen osuus työmarkkinatuesta]:[Uudistuksen mukainen osuus ansiopäivärahasta]])</f>
        <v>23238630.704656698</v>
      </c>
      <c r="I127" s="467">
        <f>Taulukko9[[#This Row],[Uudistuksen mukainen rahoitusvastuu yhteensä]]-Taulukko9[[#This Row],[Nykytila, kuntien osuus työmarkkinatuesta]]</f>
        <v>3107047.1546566971</v>
      </c>
    </row>
    <row r="128" spans="1:9">
      <c r="A128" s="456">
        <v>399</v>
      </c>
      <c r="B128" s="456" t="s">
        <v>128</v>
      </c>
      <c r="C128" s="457">
        <v>7682</v>
      </c>
      <c r="D128" s="458">
        <v>287089.24</v>
      </c>
      <c r="E128" s="458">
        <v>424600.93700000003</v>
      </c>
      <c r="F128" s="458">
        <v>11322.905000000001</v>
      </c>
      <c r="G128" s="458">
        <v>68009.771156560106</v>
      </c>
      <c r="H128" s="459">
        <f>SUM(Taulukko9[[#This Row],[Uudistuksten mukainen osuus työmarkkinatuesta]:[Uudistuksen mukainen osuus ansiopäivärahasta]])</f>
        <v>503933.61315656017</v>
      </c>
      <c r="I128" s="467">
        <f>Taulukko9[[#This Row],[Uudistuksen mukainen rahoitusvastuu yhteensä]]-Taulukko9[[#This Row],[Nykytila, kuntien osuus työmarkkinatuesta]]</f>
        <v>216844.37315656018</v>
      </c>
    </row>
    <row r="129" spans="1:9">
      <c r="A129" s="456">
        <v>400</v>
      </c>
      <c r="B129" s="456" t="s">
        <v>129</v>
      </c>
      <c r="C129" s="457">
        <v>8441</v>
      </c>
      <c r="D129" s="458">
        <v>327036.2</v>
      </c>
      <c r="E129" s="458">
        <v>463235.22849999997</v>
      </c>
      <c r="F129" s="458">
        <v>26967.945</v>
      </c>
      <c r="G129" s="458">
        <v>112169.412154587</v>
      </c>
      <c r="H129" s="459">
        <f>SUM(Taulukko9[[#This Row],[Uudistuksten mukainen osuus työmarkkinatuesta]:[Uudistuksen mukainen osuus ansiopäivärahasta]])</f>
        <v>602372.58565458702</v>
      </c>
      <c r="I129" s="467">
        <f>Taulukko9[[#This Row],[Uudistuksen mukainen rahoitusvastuu yhteensä]]-Taulukko9[[#This Row],[Nykytila, kuntien osuus työmarkkinatuesta]]</f>
        <v>275336.38565458701</v>
      </c>
    </row>
    <row r="130" spans="1:9">
      <c r="A130" s="456">
        <v>402</v>
      </c>
      <c r="B130" s="456" t="s">
        <v>130</v>
      </c>
      <c r="C130" s="457">
        <v>8975</v>
      </c>
      <c r="D130" s="458">
        <v>485248.57</v>
      </c>
      <c r="E130" s="458">
        <v>678085.32400000002</v>
      </c>
      <c r="F130" s="458">
        <v>47669.114999999998</v>
      </c>
      <c r="G130" s="458">
        <v>169939.384921349</v>
      </c>
      <c r="H130" s="459">
        <f>SUM(Taulukko9[[#This Row],[Uudistuksten mukainen osuus työmarkkinatuesta]:[Uudistuksen mukainen osuus ansiopäivärahasta]])</f>
        <v>895693.82392134902</v>
      </c>
      <c r="I130" s="467">
        <f>Taulukko9[[#This Row],[Uudistuksen mukainen rahoitusvastuu yhteensä]]-Taulukko9[[#This Row],[Nykytila, kuntien osuus työmarkkinatuesta]]</f>
        <v>410445.25392134901</v>
      </c>
    </row>
    <row r="131" spans="1:9">
      <c r="A131" s="456">
        <v>403</v>
      </c>
      <c r="B131" s="456" t="s">
        <v>131</v>
      </c>
      <c r="C131" s="457">
        <v>2789</v>
      </c>
      <c r="D131" s="458">
        <v>67689.009999999995</v>
      </c>
      <c r="E131" s="458">
        <v>101579.36050000001</v>
      </c>
      <c r="F131" s="458">
        <v>6094.5339999999997</v>
      </c>
      <c r="G131" s="458">
        <v>31267.366060115801</v>
      </c>
      <c r="H131" s="459">
        <f>SUM(Taulukko9[[#This Row],[Uudistuksten mukainen osuus työmarkkinatuesta]:[Uudistuksen mukainen osuus ansiopäivärahasta]])</f>
        <v>138941.2605601158</v>
      </c>
      <c r="I131" s="467">
        <f>Taulukko9[[#This Row],[Uudistuksen mukainen rahoitusvastuu yhteensä]]-Taulukko9[[#This Row],[Nykytila, kuntien osuus työmarkkinatuesta]]</f>
        <v>71252.250560115805</v>
      </c>
    </row>
    <row r="132" spans="1:9">
      <c r="A132" s="456">
        <v>405</v>
      </c>
      <c r="B132" s="456" t="s">
        <v>132</v>
      </c>
      <c r="C132" s="457">
        <v>72988</v>
      </c>
      <c r="D132" s="458">
        <v>5400629.0700000003</v>
      </c>
      <c r="E132" s="458">
        <v>7649079.9029999999</v>
      </c>
      <c r="F132" s="458">
        <v>332572.37900000002</v>
      </c>
      <c r="G132" s="458">
        <v>1334018.2635051301</v>
      </c>
      <c r="H132" s="459">
        <f>SUM(Taulukko9[[#This Row],[Uudistuksten mukainen osuus työmarkkinatuesta]:[Uudistuksen mukainen osuus ansiopäivärahasta]])</f>
        <v>9315670.5455051288</v>
      </c>
      <c r="I132" s="467">
        <f>Taulukko9[[#This Row],[Uudistuksen mukainen rahoitusvastuu yhteensä]]-Taulukko9[[#This Row],[Nykytila, kuntien osuus työmarkkinatuesta]]</f>
        <v>3915041.4755051285</v>
      </c>
    </row>
    <row r="133" spans="1:9">
      <c r="A133" s="456">
        <v>407</v>
      </c>
      <c r="B133" s="456" t="s">
        <v>133</v>
      </c>
      <c r="C133" s="457">
        <v>2449</v>
      </c>
      <c r="D133" s="458">
        <v>247840.57</v>
      </c>
      <c r="E133" s="458">
        <v>244828.5085</v>
      </c>
      <c r="F133" s="458">
        <v>11063.043</v>
      </c>
      <c r="G133" s="458">
        <v>26822.2646955085</v>
      </c>
      <c r="H133" s="459">
        <f>SUM(Taulukko9[[#This Row],[Uudistuksten mukainen osuus työmarkkinatuesta]:[Uudistuksen mukainen osuus ansiopäivärahasta]])</f>
        <v>282713.81619550852</v>
      </c>
      <c r="I133" s="467">
        <f>Taulukko9[[#This Row],[Uudistuksen mukainen rahoitusvastuu yhteensä]]-Taulukko9[[#This Row],[Nykytila, kuntien osuus työmarkkinatuesta]]</f>
        <v>34873.246195508516</v>
      </c>
    </row>
    <row r="134" spans="1:9">
      <c r="A134" s="456">
        <v>408</v>
      </c>
      <c r="B134" s="456" t="s">
        <v>134</v>
      </c>
      <c r="C134" s="457">
        <v>14024</v>
      </c>
      <c r="D134" s="458">
        <v>398344.35</v>
      </c>
      <c r="E134" s="458">
        <v>650743.84300000011</v>
      </c>
      <c r="F134" s="458">
        <v>52902.947</v>
      </c>
      <c r="G134" s="458">
        <v>139061.07897678501</v>
      </c>
      <c r="H134" s="459">
        <f>SUM(Taulukko9[[#This Row],[Uudistuksten mukainen osuus työmarkkinatuesta]:[Uudistuksen mukainen osuus ansiopäivärahasta]])</f>
        <v>842707.8689767851</v>
      </c>
      <c r="I134" s="467">
        <f>Taulukko9[[#This Row],[Uudistuksen mukainen rahoitusvastuu yhteensä]]-Taulukko9[[#This Row],[Nykytila, kuntien osuus työmarkkinatuesta]]</f>
        <v>444363.51897678513</v>
      </c>
    </row>
    <row r="135" spans="1:9">
      <c r="A135" s="456">
        <v>410</v>
      </c>
      <c r="B135" s="456" t="s">
        <v>135</v>
      </c>
      <c r="C135" s="457">
        <v>18762</v>
      </c>
      <c r="D135" s="458">
        <v>1003505.74</v>
      </c>
      <c r="E135" s="458">
        <v>1322237.1299999999</v>
      </c>
      <c r="F135" s="458">
        <v>65324.322</v>
      </c>
      <c r="G135" s="458">
        <v>307863.20926286501</v>
      </c>
      <c r="H135" s="459">
        <f>SUM(Taulukko9[[#This Row],[Uudistuksten mukainen osuus työmarkkinatuesta]:[Uudistuksen mukainen osuus ansiopäivärahasta]])</f>
        <v>1695424.6612628647</v>
      </c>
      <c r="I135" s="467">
        <f>Taulukko9[[#This Row],[Uudistuksen mukainen rahoitusvastuu yhteensä]]-Taulukko9[[#This Row],[Nykytila, kuntien osuus työmarkkinatuesta]]</f>
        <v>691918.92126286472</v>
      </c>
    </row>
    <row r="136" spans="1:9">
      <c r="A136" s="456">
        <v>416</v>
      </c>
      <c r="B136" s="456" t="s">
        <v>136</v>
      </c>
      <c r="C136" s="457">
        <v>2862</v>
      </c>
      <c r="D136" s="458">
        <v>106965.18</v>
      </c>
      <c r="E136" s="458">
        <v>151583.89449999999</v>
      </c>
      <c r="F136" s="458">
        <v>11841.353999999999</v>
      </c>
      <c r="G136" s="458">
        <v>54894.577844432999</v>
      </c>
      <c r="H136" s="459">
        <f>SUM(Taulukko9[[#This Row],[Uudistuksten mukainen osuus työmarkkinatuesta]:[Uudistuksen mukainen osuus ansiopäivärahasta]])</f>
        <v>218319.82634443298</v>
      </c>
      <c r="I136" s="467">
        <f>Taulukko9[[#This Row],[Uudistuksen mukainen rahoitusvastuu yhteensä]]-Taulukko9[[#This Row],[Nykytila, kuntien osuus työmarkkinatuesta]]</f>
        <v>111354.64634443299</v>
      </c>
    </row>
    <row r="137" spans="1:9">
      <c r="A137" s="456">
        <v>418</v>
      </c>
      <c r="B137" s="456" t="s">
        <v>137</v>
      </c>
      <c r="C137" s="457">
        <v>24711</v>
      </c>
      <c r="D137" s="458">
        <v>1200060.67</v>
      </c>
      <c r="E137" s="458">
        <v>1875303.4764999999</v>
      </c>
      <c r="F137" s="458">
        <v>50570.533000000003</v>
      </c>
      <c r="G137" s="458">
        <v>277293.78705081501</v>
      </c>
      <c r="H137" s="459">
        <f>SUM(Taulukko9[[#This Row],[Uudistuksten mukainen osuus työmarkkinatuesta]:[Uudistuksen mukainen osuus ansiopäivärahasta]])</f>
        <v>2203167.796550815</v>
      </c>
      <c r="I137" s="467">
        <f>Taulukko9[[#This Row],[Uudistuksen mukainen rahoitusvastuu yhteensä]]-Taulukko9[[#This Row],[Nykytila, kuntien osuus työmarkkinatuesta]]</f>
        <v>1003107.1265508151</v>
      </c>
    </row>
    <row r="138" spans="1:9">
      <c r="A138" s="456">
        <v>420</v>
      </c>
      <c r="B138" s="456" t="s">
        <v>138</v>
      </c>
      <c r="C138" s="457">
        <v>9049</v>
      </c>
      <c r="D138" s="458">
        <v>576040.28</v>
      </c>
      <c r="E138" s="458">
        <v>671677.10499999998</v>
      </c>
      <c r="F138" s="458">
        <v>38363.750999999997</v>
      </c>
      <c r="G138" s="458">
        <v>135246.808870459</v>
      </c>
      <c r="H138" s="459">
        <f>SUM(Taulukko9[[#This Row],[Uudistuksten mukainen osuus työmarkkinatuesta]:[Uudistuksen mukainen osuus ansiopäivärahasta]])</f>
        <v>845287.664870459</v>
      </c>
      <c r="I138" s="467">
        <f>Taulukko9[[#This Row],[Uudistuksen mukainen rahoitusvastuu yhteensä]]-Taulukko9[[#This Row],[Nykytila, kuntien osuus työmarkkinatuesta]]</f>
        <v>269247.38487045898</v>
      </c>
    </row>
    <row r="139" spans="1:9">
      <c r="A139" s="456">
        <v>421</v>
      </c>
      <c r="B139" s="456" t="s">
        <v>139</v>
      </c>
      <c r="C139" s="457">
        <v>682</v>
      </c>
      <c r="D139" s="458">
        <v>30469.52</v>
      </c>
      <c r="E139" s="458">
        <v>34492.919000000002</v>
      </c>
      <c r="F139" s="458">
        <v>1926.5840000000001</v>
      </c>
      <c r="G139" s="458">
        <v>8079.1461237288604</v>
      </c>
      <c r="H139" s="459">
        <f>SUM(Taulukko9[[#This Row],[Uudistuksten mukainen osuus työmarkkinatuesta]:[Uudistuksen mukainen osuus ansiopäivärahasta]])</f>
        <v>44498.649123728865</v>
      </c>
      <c r="I139" s="467">
        <f>Taulukko9[[#This Row],[Uudistuksen mukainen rahoitusvastuu yhteensä]]-Taulukko9[[#This Row],[Nykytila, kuntien osuus työmarkkinatuesta]]</f>
        <v>14029.129123728864</v>
      </c>
    </row>
    <row r="140" spans="1:9">
      <c r="A140" s="456">
        <v>422</v>
      </c>
      <c r="B140" s="456" t="s">
        <v>140</v>
      </c>
      <c r="C140" s="457">
        <v>10228</v>
      </c>
      <c r="D140" s="458">
        <v>1248373.5</v>
      </c>
      <c r="E140" s="458">
        <v>1452898.4785</v>
      </c>
      <c r="F140" s="458">
        <v>53510.688999999998</v>
      </c>
      <c r="G140" s="458">
        <v>272371.38565925101</v>
      </c>
      <c r="H140" s="459">
        <f>SUM(Taulukko9[[#This Row],[Uudistuksten mukainen osuus työmarkkinatuesta]:[Uudistuksen mukainen osuus ansiopäivärahasta]])</f>
        <v>1778780.5531592509</v>
      </c>
      <c r="I140" s="467">
        <f>Taulukko9[[#This Row],[Uudistuksen mukainen rahoitusvastuu yhteensä]]-Taulukko9[[#This Row],[Nykytila, kuntien osuus työmarkkinatuesta]]</f>
        <v>530407.05315925088</v>
      </c>
    </row>
    <row r="141" spans="1:9">
      <c r="A141" s="456">
        <v>423</v>
      </c>
      <c r="B141" s="456" t="s">
        <v>141</v>
      </c>
      <c r="C141" s="457">
        <v>20637</v>
      </c>
      <c r="D141" s="458">
        <v>343922.27</v>
      </c>
      <c r="E141" s="458">
        <v>703637.6925</v>
      </c>
      <c r="F141" s="458">
        <v>41865.398999999998</v>
      </c>
      <c r="G141" s="458">
        <v>193905.08404074801</v>
      </c>
      <c r="H141" s="459">
        <f>SUM(Taulukko9[[#This Row],[Uudistuksten mukainen osuus työmarkkinatuesta]:[Uudistuksen mukainen osuus ansiopäivärahasta]])</f>
        <v>939408.17554074805</v>
      </c>
      <c r="I141" s="467">
        <f>Taulukko9[[#This Row],[Uudistuksen mukainen rahoitusvastuu yhteensä]]-Taulukko9[[#This Row],[Nykytila, kuntien osuus työmarkkinatuesta]]</f>
        <v>595485.90554074803</v>
      </c>
    </row>
    <row r="142" spans="1:9">
      <c r="A142" s="456">
        <v>425</v>
      </c>
      <c r="B142" s="456" t="s">
        <v>142</v>
      </c>
      <c r="C142" s="457">
        <v>10256</v>
      </c>
      <c r="D142" s="458">
        <v>251755.42</v>
      </c>
      <c r="E142" s="458">
        <v>365239.30000000005</v>
      </c>
      <c r="F142" s="458">
        <v>27916.661</v>
      </c>
      <c r="G142" s="458">
        <v>114060.948084698</v>
      </c>
      <c r="H142" s="459">
        <f>SUM(Taulukko9[[#This Row],[Uudistuksten mukainen osuus työmarkkinatuesta]:[Uudistuksen mukainen osuus ansiopäivärahasta]])</f>
        <v>507216.90908469807</v>
      </c>
      <c r="I142" s="467">
        <f>Taulukko9[[#This Row],[Uudistuksen mukainen rahoitusvastuu yhteensä]]-Taulukko9[[#This Row],[Nykytila, kuntien osuus työmarkkinatuesta]]</f>
        <v>255461.48908469806</v>
      </c>
    </row>
    <row r="143" spans="1:9">
      <c r="A143" s="456">
        <v>426</v>
      </c>
      <c r="B143" s="456" t="s">
        <v>143</v>
      </c>
      <c r="C143" s="457">
        <v>11969</v>
      </c>
      <c r="D143" s="458">
        <v>1028408.22</v>
      </c>
      <c r="E143" s="458">
        <v>1147718.9175</v>
      </c>
      <c r="F143" s="458">
        <v>65005.008000000002</v>
      </c>
      <c r="G143" s="458">
        <v>221928.74322974001</v>
      </c>
      <c r="H143" s="459">
        <f>SUM(Taulukko9[[#This Row],[Uudistuksten mukainen osuus työmarkkinatuesta]:[Uudistuksen mukainen osuus ansiopäivärahasta]])</f>
        <v>1434652.66872974</v>
      </c>
      <c r="I143" s="467">
        <f>Taulukko9[[#This Row],[Uudistuksen mukainen rahoitusvastuu yhteensä]]-Taulukko9[[#This Row],[Nykytila, kuntien osuus työmarkkinatuesta]]</f>
        <v>406244.44872973999</v>
      </c>
    </row>
    <row r="144" spans="1:9">
      <c r="A144" s="456">
        <v>430</v>
      </c>
      <c r="B144" s="456" t="s">
        <v>144</v>
      </c>
      <c r="C144" s="457">
        <v>15420</v>
      </c>
      <c r="D144" s="458">
        <v>884458.33</v>
      </c>
      <c r="E144" s="458">
        <v>1405647.5555</v>
      </c>
      <c r="F144" s="458">
        <v>48278.411</v>
      </c>
      <c r="G144" s="458">
        <v>228705.45632262499</v>
      </c>
      <c r="H144" s="459">
        <f>SUM(Taulukko9[[#This Row],[Uudistuksten mukainen osuus työmarkkinatuesta]:[Uudistuksen mukainen osuus ansiopäivärahasta]])</f>
        <v>1682631.4228226251</v>
      </c>
      <c r="I144" s="467">
        <f>Taulukko9[[#This Row],[Uudistuksen mukainen rahoitusvastuu yhteensä]]-Taulukko9[[#This Row],[Nykytila, kuntien osuus työmarkkinatuesta]]</f>
        <v>798173.09282262519</v>
      </c>
    </row>
    <row r="145" spans="1:9">
      <c r="A145" s="456">
        <v>433</v>
      </c>
      <c r="B145" s="456" t="s">
        <v>145</v>
      </c>
      <c r="C145" s="457">
        <v>7692</v>
      </c>
      <c r="D145" s="458">
        <v>141530.87</v>
      </c>
      <c r="E145" s="458">
        <v>303170.94050000003</v>
      </c>
      <c r="F145" s="458">
        <v>28555.646000000001</v>
      </c>
      <c r="G145" s="458">
        <v>75069.427921499504</v>
      </c>
      <c r="H145" s="459">
        <f>SUM(Taulukko9[[#This Row],[Uudistuksten mukainen osuus työmarkkinatuesta]:[Uudistuksen mukainen osuus ansiopäivärahasta]])</f>
        <v>406796.01442149957</v>
      </c>
      <c r="I145" s="467">
        <f>Taulukko9[[#This Row],[Uudistuksen mukainen rahoitusvastuu yhteensä]]-Taulukko9[[#This Row],[Nykytila, kuntien osuus työmarkkinatuesta]]</f>
        <v>265265.14442149957</v>
      </c>
    </row>
    <row r="146" spans="1:9">
      <c r="A146" s="456">
        <v>434</v>
      </c>
      <c r="B146" s="456" t="s">
        <v>146</v>
      </c>
      <c r="C146" s="457">
        <v>14458</v>
      </c>
      <c r="D146" s="458">
        <v>1260072.7</v>
      </c>
      <c r="E146" s="458">
        <v>1388785.3330000001</v>
      </c>
      <c r="F146" s="458">
        <v>55387.512000000002</v>
      </c>
      <c r="G146" s="458">
        <v>195275.91870399099</v>
      </c>
      <c r="H146" s="459">
        <f>SUM(Taulukko9[[#This Row],[Uudistuksten mukainen osuus työmarkkinatuesta]:[Uudistuksen mukainen osuus ansiopäivärahasta]])</f>
        <v>1639448.7637039912</v>
      </c>
      <c r="I146" s="467">
        <f>Taulukko9[[#This Row],[Uudistuksen mukainen rahoitusvastuu yhteensä]]-Taulukko9[[#This Row],[Nykytila, kuntien osuus työmarkkinatuesta]]</f>
        <v>379376.06370399124</v>
      </c>
    </row>
    <row r="147" spans="1:9">
      <c r="A147" s="456">
        <v>435</v>
      </c>
      <c r="B147" s="456" t="s">
        <v>147</v>
      </c>
      <c r="C147" s="457">
        <v>702</v>
      </c>
      <c r="D147" s="458">
        <v>55098.66</v>
      </c>
      <c r="E147" s="458">
        <v>59667.387999999999</v>
      </c>
      <c r="F147" s="458">
        <v>4042.4389999999999</v>
      </c>
      <c r="G147" s="458">
        <v>15392.2558006158</v>
      </c>
      <c r="H147" s="459">
        <f>SUM(Taulukko9[[#This Row],[Uudistuksten mukainen osuus työmarkkinatuesta]:[Uudistuksen mukainen osuus ansiopäivärahasta]])</f>
        <v>79102.082800615797</v>
      </c>
      <c r="I147" s="467">
        <f>Taulukko9[[#This Row],[Uudistuksen mukainen rahoitusvastuu yhteensä]]-Taulukko9[[#This Row],[Nykytila, kuntien osuus työmarkkinatuesta]]</f>
        <v>24003.422800615794</v>
      </c>
    </row>
    <row r="148" spans="1:9">
      <c r="A148" s="456">
        <v>436</v>
      </c>
      <c r="B148" s="456" t="s">
        <v>148</v>
      </c>
      <c r="C148" s="457">
        <v>2033</v>
      </c>
      <c r="D148" s="458">
        <v>56271.11</v>
      </c>
      <c r="E148" s="458">
        <v>66610.388000000006</v>
      </c>
      <c r="F148" s="458">
        <v>5890.4480000000003</v>
      </c>
      <c r="G148" s="458">
        <v>17207.093269533001</v>
      </c>
      <c r="H148" s="459">
        <f>SUM(Taulukko9[[#This Row],[Uudistuksten mukainen osuus työmarkkinatuesta]:[Uudistuksen mukainen osuus ansiopäivärahasta]])</f>
        <v>89707.929269533008</v>
      </c>
      <c r="I148" s="467">
        <f>Taulukko9[[#This Row],[Uudistuksen mukainen rahoitusvastuu yhteensä]]-Taulukko9[[#This Row],[Nykytila, kuntien osuus työmarkkinatuesta]]</f>
        <v>33436.819269533007</v>
      </c>
    </row>
    <row r="149" spans="1:9">
      <c r="A149" s="456">
        <v>440</v>
      </c>
      <c r="B149" s="456" t="s">
        <v>149</v>
      </c>
      <c r="C149" s="457">
        <v>5843</v>
      </c>
      <c r="D149" s="458">
        <v>26835.46</v>
      </c>
      <c r="E149" s="458">
        <v>85224.526500000007</v>
      </c>
      <c r="F149" s="458">
        <v>8430.5750000000007</v>
      </c>
      <c r="G149" s="458">
        <v>16378.4587671481</v>
      </c>
      <c r="H149" s="459">
        <f>SUM(Taulukko9[[#This Row],[Uudistuksten mukainen osuus työmarkkinatuesta]:[Uudistuksen mukainen osuus ansiopäivärahasta]])</f>
        <v>110033.5602671481</v>
      </c>
      <c r="I149" s="467">
        <f>Taulukko9[[#This Row],[Uudistuksen mukainen rahoitusvastuu yhteensä]]-Taulukko9[[#This Row],[Nykytila, kuntien osuus työmarkkinatuesta]]</f>
        <v>83198.100267148111</v>
      </c>
    </row>
    <row r="150" spans="1:9">
      <c r="A150" s="456">
        <v>441</v>
      </c>
      <c r="B150" s="456" t="s">
        <v>150</v>
      </c>
      <c r="C150" s="457">
        <v>4396</v>
      </c>
      <c r="D150" s="458">
        <v>163906.54</v>
      </c>
      <c r="E150" s="458">
        <v>284929.32999999996</v>
      </c>
      <c r="F150" s="458">
        <v>23155.696</v>
      </c>
      <c r="G150" s="458">
        <v>85392.2183916676</v>
      </c>
      <c r="H150" s="459">
        <f>SUM(Taulukko9[[#This Row],[Uudistuksten mukainen osuus työmarkkinatuesta]:[Uudistuksen mukainen osuus ansiopäivärahasta]])</f>
        <v>393477.24439166754</v>
      </c>
      <c r="I150" s="467">
        <f>Taulukko9[[#This Row],[Uudistuksen mukainen rahoitusvastuu yhteensä]]-Taulukko9[[#This Row],[Nykytila, kuntien osuus työmarkkinatuesta]]</f>
        <v>229570.70439166753</v>
      </c>
    </row>
    <row r="151" spans="1:9">
      <c r="A151" s="456">
        <v>444</v>
      </c>
      <c r="B151" s="456" t="s">
        <v>151</v>
      </c>
      <c r="C151" s="457">
        <v>45645</v>
      </c>
      <c r="D151" s="458">
        <v>3051472.77</v>
      </c>
      <c r="E151" s="458">
        <v>4477655.87</v>
      </c>
      <c r="F151" s="458">
        <v>161211.52100000001</v>
      </c>
      <c r="G151" s="458">
        <v>530404.56808373996</v>
      </c>
      <c r="H151" s="459">
        <f>SUM(Taulukko9[[#This Row],[Uudistuksten mukainen osuus työmarkkinatuesta]:[Uudistuksen mukainen osuus ansiopäivärahasta]])</f>
        <v>5169271.9590837397</v>
      </c>
      <c r="I151" s="467">
        <f>Taulukko9[[#This Row],[Uudistuksen mukainen rahoitusvastuu yhteensä]]-Taulukko9[[#This Row],[Nykytila, kuntien osuus työmarkkinatuesta]]</f>
        <v>2117799.1890837396</v>
      </c>
    </row>
    <row r="152" spans="1:9">
      <c r="A152" s="456">
        <v>445</v>
      </c>
      <c r="B152" s="456" t="s">
        <v>152</v>
      </c>
      <c r="C152" s="457">
        <v>14999</v>
      </c>
      <c r="D152" s="458">
        <v>480859.15</v>
      </c>
      <c r="E152" s="458">
        <v>637531.34349999996</v>
      </c>
      <c r="F152" s="458">
        <v>37835.381999999998</v>
      </c>
      <c r="G152" s="458">
        <v>143188.52520079099</v>
      </c>
      <c r="H152" s="459">
        <f>SUM(Taulukko9[[#This Row],[Uudistuksten mukainen osuus työmarkkinatuesta]:[Uudistuksen mukainen osuus ansiopäivärahasta]])</f>
        <v>818555.2507007909</v>
      </c>
      <c r="I152" s="467">
        <f>Taulukko9[[#This Row],[Uudistuksen mukainen rahoitusvastuu yhteensä]]-Taulukko9[[#This Row],[Nykytila, kuntien osuus työmarkkinatuesta]]</f>
        <v>337696.10070079088</v>
      </c>
    </row>
    <row r="153" spans="1:9">
      <c r="A153" s="456">
        <v>475</v>
      </c>
      <c r="B153" s="456" t="s">
        <v>153</v>
      </c>
      <c r="C153" s="457">
        <v>5456</v>
      </c>
      <c r="D153" s="458">
        <v>164007.07999999999</v>
      </c>
      <c r="E153" s="458">
        <v>210819.2285</v>
      </c>
      <c r="F153" s="458">
        <v>11489.458000000001</v>
      </c>
      <c r="G153" s="458">
        <v>37180.994130911698</v>
      </c>
      <c r="H153" s="459">
        <f>SUM(Taulukko9[[#This Row],[Uudistuksten mukainen osuus työmarkkinatuesta]:[Uudistuksen mukainen osuus ansiopäivärahasta]])</f>
        <v>259489.68063091172</v>
      </c>
      <c r="I153" s="467">
        <f>Taulukko9[[#This Row],[Uudistuksen mukainen rahoitusvastuu yhteensä]]-Taulukko9[[#This Row],[Nykytila, kuntien osuus työmarkkinatuesta]]</f>
        <v>95482.600630911737</v>
      </c>
    </row>
    <row r="154" spans="1:9">
      <c r="A154" s="456">
        <v>480</v>
      </c>
      <c r="B154" s="456" t="s">
        <v>154</v>
      </c>
      <c r="C154" s="457">
        <v>1930</v>
      </c>
      <c r="D154" s="458">
        <v>72125.11</v>
      </c>
      <c r="E154" s="458">
        <v>130461.84699999999</v>
      </c>
      <c r="F154" s="458">
        <v>3839.72</v>
      </c>
      <c r="G154" s="458">
        <v>25161.867722934301</v>
      </c>
      <c r="H154" s="459">
        <f>SUM(Taulukko9[[#This Row],[Uudistuksten mukainen osuus työmarkkinatuesta]:[Uudistuksen mukainen osuus ansiopäivärahasta]])</f>
        <v>159463.43472293427</v>
      </c>
      <c r="I154" s="467">
        <f>Taulukko9[[#This Row],[Uudistuksen mukainen rahoitusvastuu yhteensä]]-Taulukko9[[#This Row],[Nykytila, kuntien osuus työmarkkinatuesta]]</f>
        <v>87338.324722934267</v>
      </c>
    </row>
    <row r="155" spans="1:9">
      <c r="A155" s="456">
        <v>481</v>
      </c>
      <c r="B155" s="456" t="s">
        <v>155</v>
      </c>
      <c r="C155" s="457">
        <v>9619</v>
      </c>
      <c r="D155" s="458">
        <v>281262.36</v>
      </c>
      <c r="E155" s="458">
        <v>353718.07499999995</v>
      </c>
      <c r="F155" s="458">
        <v>14141.124</v>
      </c>
      <c r="G155" s="458">
        <v>96851.934650644107</v>
      </c>
      <c r="H155" s="459">
        <f>SUM(Taulukko9[[#This Row],[Uudistuksten mukainen osuus työmarkkinatuesta]:[Uudistuksen mukainen osuus ansiopäivärahasta]])</f>
        <v>464711.1336506441</v>
      </c>
      <c r="I155" s="467">
        <f>Taulukko9[[#This Row],[Uudistuksen mukainen rahoitusvastuu yhteensä]]-Taulukko9[[#This Row],[Nykytila, kuntien osuus työmarkkinatuesta]]</f>
        <v>183448.77365064411</v>
      </c>
    </row>
    <row r="156" spans="1:9">
      <c r="A156" s="456">
        <v>483</v>
      </c>
      <c r="B156" s="456" t="s">
        <v>156</v>
      </c>
      <c r="C156" s="457">
        <v>1055</v>
      </c>
      <c r="D156" s="458">
        <v>16090.83</v>
      </c>
      <c r="E156" s="458">
        <v>44137.917999999998</v>
      </c>
      <c r="F156" s="458">
        <v>1548.624</v>
      </c>
      <c r="G156" s="458">
        <v>11000.0013001716</v>
      </c>
      <c r="H156" s="459">
        <f>SUM(Taulukko9[[#This Row],[Uudistuksten mukainen osuus työmarkkinatuesta]:[Uudistuksen mukainen osuus ansiopäivärahasta]])</f>
        <v>56686.543300171601</v>
      </c>
      <c r="I156" s="467">
        <f>Taulukko9[[#This Row],[Uudistuksen mukainen rahoitusvastuu yhteensä]]-Taulukko9[[#This Row],[Nykytila, kuntien osuus työmarkkinatuesta]]</f>
        <v>40595.713300171599</v>
      </c>
    </row>
    <row r="157" spans="1:9">
      <c r="A157" s="456">
        <v>484</v>
      </c>
      <c r="B157" s="456" t="s">
        <v>157</v>
      </c>
      <c r="C157" s="457">
        <v>2966</v>
      </c>
      <c r="D157" s="458">
        <v>141431.09</v>
      </c>
      <c r="E157" s="458">
        <v>189352.413</v>
      </c>
      <c r="F157" s="458">
        <v>12765.819</v>
      </c>
      <c r="G157" s="458">
        <v>35318.695051500603</v>
      </c>
      <c r="H157" s="459">
        <f>SUM(Taulukko9[[#This Row],[Uudistuksten mukainen osuus työmarkkinatuesta]:[Uudistuksen mukainen osuus ansiopäivärahasta]])</f>
        <v>237436.92705150059</v>
      </c>
      <c r="I157" s="467">
        <f>Taulukko9[[#This Row],[Uudistuksen mukainen rahoitusvastuu yhteensä]]-Taulukko9[[#This Row],[Nykytila, kuntien osuus työmarkkinatuesta]]</f>
        <v>96005.837051500595</v>
      </c>
    </row>
    <row r="158" spans="1:9">
      <c r="A158" s="456">
        <v>489</v>
      </c>
      <c r="B158" s="456" t="s">
        <v>158</v>
      </c>
      <c r="C158" s="457">
        <v>1752</v>
      </c>
      <c r="D158" s="458">
        <v>139464.47</v>
      </c>
      <c r="E158" s="458">
        <v>168142.02900000001</v>
      </c>
      <c r="F158" s="458">
        <v>7375.1570000000002</v>
      </c>
      <c r="G158" s="458">
        <v>21631.766908448601</v>
      </c>
      <c r="H158" s="459">
        <f>SUM(Taulukko9[[#This Row],[Uudistuksten mukainen osuus työmarkkinatuesta]:[Uudistuksen mukainen osuus ansiopäivärahasta]])</f>
        <v>197148.95290844861</v>
      </c>
      <c r="I158" s="467">
        <f>Taulukko9[[#This Row],[Uudistuksen mukainen rahoitusvastuu yhteensä]]-Taulukko9[[#This Row],[Nykytila, kuntien osuus työmarkkinatuesta]]</f>
        <v>57684.482908448612</v>
      </c>
    </row>
    <row r="159" spans="1:9">
      <c r="A159" s="456">
        <v>491</v>
      </c>
      <c r="B159" s="456" t="s">
        <v>159</v>
      </c>
      <c r="C159" s="457">
        <v>51919</v>
      </c>
      <c r="D159" s="458">
        <v>3781987.73</v>
      </c>
      <c r="E159" s="458">
        <v>5306377.9910000004</v>
      </c>
      <c r="F159" s="458">
        <v>272119.08100000001</v>
      </c>
      <c r="G159" s="458">
        <v>762808.69605149899</v>
      </c>
      <c r="H159" s="459">
        <f>SUM(Taulukko9[[#This Row],[Uudistuksten mukainen osuus työmarkkinatuesta]:[Uudistuksen mukainen osuus ansiopäivärahasta]])</f>
        <v>6341305.7680514995</v>
      </c>
      <c r="I159" s="467">
        <f>Taulukko9[[#This Row],[Uudistuksen mukainen rahoitusvastuu yhteensä]]-Taulukko9[[#This Row],[Nykytila, kuntien osuus työmarkkinatuesta]]</f>
        <v>2559318.0380514995</v>
      </c>
    </row>
    <row r="160" spans="1:9">
      <c r="A160" s="456">
        <v>494</v>
      </c>
      <c r="B160" s="456" t="s">
        <v>160</v>
      </c>
      <c r="C160" s="457">
        <v>8827</v>
      </c>
      <c r="D160" s="458">
        <v>707609.04</v>
      </c>
      <c r="E160" s="458">
        <v>737630.17700000003</v>
      </c>
      <c r="F160" s="458">
        <v>28797.388999999999</v>
      </c>
      <c r="G160" s="458">
        <v>104510.616633096</v>
      </c>
      <c r="H160" s="459">
        <f>SUM(Taulukko9[[#This Row],[Uudistuksten mukainen osuus työmarkkinatuesta]:[Uudistuksen mukainen osuus ansiopäivärahasta]])</f>
        <v>870938.182633096</v>
      </c>
      <c r="I160" s="467">
        <f>Taulukko9[[#This Row],[Uudistuksen mukainen rahoitusvastuu yhteensä]]-Taulukko9[[#This Row],[Nykytila, kuntien osuus työmarkkinatuesta]]</f>
        <v>163329.14263309597</v>
      </c>
    </row>
    <row r="161" spans="1:9">
      <c r="A161" s="456">
        <v>495</v>
      </c>
      <c r="B161" s="456" t="s">
        <v>161</v>
      </c>
      <c r="C161" s="457">
        <v>1430</v>
      </c>
      <c r="D161" s="458">
        <v>99208.9</v>
      </c>
      <c r="E161" s="458">
        <v>138828.73550000001</v>
      </c>
      <c r="F161" s="458">
        <v>5221.0249999999996</v>
      </c>
      <c r="G161" s="458">
        <v>14747.3395288016</v>
      </c>
      <c r="H161" s="459">
        <f>SUM(Taulukko9[[#This Row],[Uudistuksten mukainen osuus työmarkkinatuesta]:[Uudistuksen mukainen osuus ansiopäivärahasta]])</f>
        <v>158797.10002880159</v>
      </c>
      <c r="I161" s="467">
        <f>Taulukko9[[#This Row],[Uudistuksen mukainen rahoitusvastuu yhteensä]]-Taulukko9[[#This Row],[Nykytila, kuntien osuus työmarkkinatuesta]]</f>
        <v>59588.200028801599</v>
      </c>
    </row>
    <row r="162" spans="1:9">
      <c r="A162" s="456">
        <v>498</v>
      </c>
      <c r="B162" s="456" t="s">
        <v>162</v>
      </c>
      <c r="C162" s="457">
        <v>2325</v>
      </c>
      <c r="D162" s="458">
        <v>33413.839999999997</v>
      </c>
      <c r="E162" s="458">
        <v>62018.638500000001</v>
      </c>
      <c r="F162" s="458">
        <v>10579.338</v>
      </c>
      <c r="G162" s="458">
        <v>89505.230961212801</v>
      </c>
      <c r="H162" s="459">
        <f>SUM(Taulukko9[[#This Row],[Uudistuksten mukainen osuus työmarkkinatuesta]:[Uudistuksen mukainen osuus ansiopäivärahasta]])</f>
        <v>162103.20746121282</v>
      </c>
      <c r="I162" s="467">
        <f>Taulukko9[[#This Row],[Uudistuksen mukainen rahoitusvastuu yhteensä]]-Taulukko9[[#This Row],[Nykytila, kuntien osuus työmarkkinatuesta]]</f>
        <v>128689.36746121282</v>
      </c>
    </row>
    <row r="163" spans="1:9">
      <c r="A163" s="456">
        <v>499</v>
      </c>
      <c r="B163" s="456" t="s">
        <v>163</v>
      </c>
      <c r="C163" s="457">
        <v>19763</v>
      </c>
      <c r="D163" s="458">
        <v>352392.93</v>
      </c>
      <c r="E163" s="458">
        <v>589586.13950000005</v>
      </c>
      <c r="F163" s="458">
        <v>39329.428999999996</v>
      </c>
      <c r="G163" s="458">
        <v>95423.186268593898</v>
      </c>
      <c r="H163" s="459">
        <f>SUM(Taulukko9[[#This Row],[Uudistuksten mukainen osuus työmarkkinatuesta]:[Uudistuksen mukainen osuus ansiopäivärahasta]])</f>
        <v>724338.75476859394</v>
      </c>
      <c r="I163" s="467">
        <f>Taulukko9[[#This Row],[Uudistuksen mukainen rahoitusvastuu yhteensä]]-Taulukko9[[#This Row],[Nykytila, kuntien osuus työmarkkinatuesta]]</f>
        <v>371945.82476859394</v>
      </c>
    </row>
    <row r="164" spans="1:9">
      <c r="A164" s="456">
        <v>500</v>
      </c>
      <c r="B164" s="456" t="s">
        <v>164</v>
      </c>
      <c r="C164" s="457">
        <v>10551</v>
      </c>
      <c r="D164" s="458">
        <v>552322.74</v>
      </c>
      <c r="E164" s="458">
        <v>736212.60199999996</v>
      </c>
      <c r="F164" s="458">
        <v>25786.59</v>
      </c>
      <c r="G164" s="458">
        <v>166197.92789199</v>
      </c>
      <c r="H164" s="459">
        <f>SUM(Taulukko9[[#This Row],[Uudistuksten mukainen osuus työmarkkinatuesta]:[Uudistuksen mukainen osuus ansiopäivärahasta]])</f>
        <v>928197.11989198998</v>
      </c>
      <c r="I164" s="467">
        <f>Taulukko9[[#This Row],[Uudistuksen mukainen rahoitusvastuu yhteensä]]-Taulukko9[[#This Row],[Nykytila, kuntien osuus työmarkkinatuesta]]</f>
        <v>375874.37989198999</v>
      </c>
    </row>
    <row r="165" spans="1:9">
      <c r="A165" s="456">
        <v>503</v>
      </c>
      <c r="B165" s="456" t="s">
        <v>165</v>
      </c>
      <c r="C165" s="457">
        <v>7515</v>
      </c>
      <c r="D165" s="458">
        <v>409353.51</v>
      </c>
      <c r="E165" s="458">
        <v>482395.08250000002</v>
      </c>
      <c r="F165" s="458">
        <v>34039.599999999999</v>
      </c>
      <c r="G165" s="458">
        <v>73207.223517732302</v>
      </c>
      <c r="H165" s="459">
        <f>SUM(Taulukko9[[#This Row],[Uudistuksten mukainen osuus työmarkkinatuesta]:[Uudistuksen mukainen osuus ansiopäivärahasta]])</f>
        <v>589641.90601773234</v>
      </c>
      <c r="I165" s="467">
        <f>Taulukko9[[#This Row],[Uudistuksen mukainen rahoitusvastuu yhteensä]]-Taulukko9[[#This Row],[Nykytila, kuntien osuus työmarkkinatuesta]]</f>
        <v>180288.39601773233</v>
      </c>
    </row>
    <row r="166" spans="1:9">
      <c r="A166" s="456">
        <v>504</v>
      </c>
      <c r="B166" s="456" t="s">
        <v>166</v>
      </c>
      <c r="C166" s="457">
        <v>1715</v>
      </c>
      <c r="D166" s="458">
        <v>226307.6</v>
      </c>
      <c r="E166" s="458">
        <v>237302.96299999999</v>
      </c>
      <c r="F166" s="458">
        <v>9460.8189999999995</v>
      </c>
      <c r="G166" s="458">
        <v>20896.9687788673</v>
      </c>
      <c r="H166" s="459">
        <f>SUM(Taulukko9[[#This Row],[Uudistuksten mukainen osuus työmarkkinatuesta]:[Uudistuksen mukainen osuus ansiopäivärahasta]])</f>
        <v>267660.75077886728</v>
      </c>
      <c r="I166" s="467">
        <f>Taulukko9[[#This Row],[Uudistuksen mukainen rahoitusvastuu yhteensä]]-Taulukko9[[#This Row],[Nykytila, kuntien osuus työmarkkinatuesta]]</f>
        <v>41353.150778867275</v>
      </c>
    </row>
    <row r="167" spans="1:9">
      <c r="A167" s="456">
        <v>505</v>
      </c>
      <c r="B167" s="456" t="s">
        <v>167</v>
      </c>
      <c r="C167" s="457">
        <v>20957</v>
      </c>
      <c r="D167" s="458">
        <v>978950.78</v>
      </c>
      <c r="E167" s="458">
        <v>1207222.7464999999</v>
      </c>
      <c r="F167" s="458">
        <v>72216.929000000004</v>
      </c>
      <c r="G167" s="458">
        <v>216092.994855964</v>
      </c>
      <c r="H167" s="459">
        <f>SUM(Taulukko9[[#This Row],[Uudistuksten mukainen osuus työmarkkinatuesta]:[Uudistuksen mukainen osuus ansiopäivärahasta]])</f>
        <v>1495532.670355964</v>
      </c>
      <c r="I167" s="467">
        <f>Taulukko9[[#This Row],[Uudistuksen mukainen rahoitusvastuu yhteensä]]-Taulukko9[[#This Row],[Nykytila, kuntien osuus työmarkkinatuesta]]</f>
        <v>516581.89035596396</v>
      </c>
    </row>
    <row r="168" spans="1:9">
      <c r="A168" s="456">
        <v>507</v>
      </c>
      <c r="B168" s="456" t="s">
        <v>168</v>
      </c>
      <c r="C168" s="457">
        <v>5522</v>
      </c>
      <c r="D168" s="458">
        <v>235888.06</v>
      </c>
      <c r="E168" s="458">
        <v>348758.24400000001</v>
      </c>
      <c r="F168" s="458">
        <v>20557.976999999999</v>
      </c>
      <c r="G168" s="458">
        <v>90904.054870721506</v>
      </c>
      <c r="H168" s="459">
        <f>SUM(Taulukko9[[#This Row],[Uudistuksten mukainen osuus työmarkkinatuesta]:[Uudistuksen mukainen osuus ansiopäivärahasta]])</f>
        <v>460220.27587072155</v>
      </c>
      <c r="I168" s="467">
        <f>Taulukko9[[#This Row],[Uudistuksen mukainen rahoitusvastuu yhteensä]]-Taulukko9[[#This Row],[Nykytila, kuntien osuus työmarkkinatuesta]]</f>
        <v>224332.21587072156</v>
      </c>
    </row>
    <row r="169" spans="1:9">
      <c r="A169" s="456">
        <v>508</v>
      </c>
      <c r="B169" s="456" t="s">
        <v>169</v>
      </c>
      <c r="C169" s="457">
        <v>9271</v>
      </c>
      <c r="D169" s="458">
        <v>393045.66</v>
      </c>
      <c r="E169" s="458">
        <v>840021.44350000005</v>
      </c>
      <c r="F169" s="458">
        <v>24070.735000000001</v>
      </c>
      <c r="G169" s="458">
        <v>120128.225093966</v>
      </c>
      <c r="H169" s="459">
        <f>SUM(Taulukko9[[#This Row],[Uudistuksten mukainen osuus työmarkkinatuesta]:[Uudistuksen mukainen osuus ansiopäivärahasta]])</f>
        <v>984220.40359396604</v>
      </c>
      <c r="I169" s="467">
        <f>Taulukko9[[#This Row],[Uudistuksen mukainen rahoitusvastuu yhteensä]]-Taulukko9[[#This Row],[Nykytila, kuntien osuus työmarkkinatuesta]]</f>
        <v>591174.74359396612</v>
      </c>
    </row>
    <row r="170" spans="1:9">
      <c r="A170" s="456">
        <v>529</v>
      </c>
      <c r="B170" s="456" t="s">
        <v>170</v>
      </c>
      <c r="C170" s="457">
        <v>19999</v>
      </c>
      <c r="D170" s="458">
        <v>523313.61</v>
      </c>
      <c r="E170" s="458">
        <v>990375.12250000006</v>
      </c>
      <c r="F170" s="458">
        <v>69695.111999999994</v>
      </c>
      <c r="G170" s="458">
        <v>271217.67413670802</v>
      </c>
      <c r="H170" s="459">
        <f>SUM(Taulukko9[[#This Row],[Uudistuksten mukainen osuus työmarkkinatuesta]:[Uudistuksen mukainen osuus ansiopäivärahasta]])</f>
        <v>1331287.908636708</v>
      </c>
      <c r="I170" s="467">
        <f>Taulukko9[[#This Row],[Uudistuksen mukainen rahoitusvastuu yhteensä]]-Taulukko9[[#This Row],[Nykytila, kuntien osuus työmarkkinatuesta]]</f>
        <v>807974.29863670806</v>
      </c>
    </row>
    <row r="171" spans="1:9">
      <c r="A171" s="456">
        <v>531</v>
      </c>
      <c r="B171" s="456" t="s">
        <v>171</v>
      </c>
      <c r="C171" s="457">
        <v>4966</v>
      </c>
      <c r="D171" s="458">
        <v>324509.12</v>
      </c>
      <c r="E171" s="458">
        <v>688430.16950000008</v>
      </c>
      <c r="F171" s="458">
        <v>16147.887000000001</v>
      </c>
      <c r="G171" s="458">
        <v>59400.042631757802</v>
      </c>
      <c r="H171" s="459">
        <f>SUM(Taulukko9[[#This Row],[Uudistuksten mukainen osuus työmarkkinatuesta]:[Uudistuksen mukainen osuus ansiopäivärahasta]])</f>
        <v>763978.09913175786</v>
      </c>
      <c r="I171" s="467">
        <f>Taulukko9[[#This Row],[Uudistuksen mukainen rahoitusvastuu yhteensä]]-Taulukko9[[#This Row],[Nykytila, kuntien osuus työmarkkinatuesta]]</f>
        <v>439468.97913175786</v>
      </c>
    </row>
    <row r="172" spans="1:9">
      <c r="A172" s="456">
        <v>535</v>
      </c>
      <c r="B172" s="456" t="s">
        <v>172</v>
      </c>
      <c r="C172" s="457">
        <v>10454</v>
      </c>
      <c r="D172" s="458">
        <v>389499.74</v>
      </c>
      <c r="E172" s="458">
        <v>519244.6875</v>
      </c>
      <c r="F172" s="458">
        <v>32367.788</v>
      </c>
      <c r="G172" s="458">
        <v>87677.202533099597</v>
      </c>
      <c r="H172" s="459">
        <f>SUM(Taulukko9[[#This Row],[Uudistuksten mukainen osuus työmarkkinatuesta]:[Uudistuksen mukainen osuus ansiopäivärahasta]])</f>
        <v>639289.67803309951</v>
      </c>
      <c r="I172" s="467">
        <f>Taulukko9[[#This Row],[Uudistuksen mukainen rahoitusvastuu yhteensä]]-Taulukko9[[#This Row],[Nykytila, kuntien osuus työmarkkinatuesta]]</f>
        <v>249789.93803309952</v>
      </c>
    </row>
    <row r="173" spans="1:9">
      <c r="A173" s="456">
        <v>536</v>
      </c>
      <c r="B173" s="456" t="s">
        <v>173</v>
      </c>
      <c r="C173" s="457">
        <v>35647</v>
      </c>
      <c r="D173" s="458">
        <v>1973615.24</v>
      </c>
      <c r="E173" s="458">
        <v>3152474.9069999997</v>
      </c>
      <c r="F173" s="458">
        <v>87508.728000000003</v>
      </c>
      <c r="G173" s="458">
        <v>461093.40423063701</v>
      </c>
      <c r="H173" s="459">
        <f>SUM(Taulukko9[[#This Row],[Uudistuksten mukainen osuus työmarkkinatuesta]:[Uudistuksen mukainen osuus ansiopäivärahasta]])</f>
        <v>3701077.0392306368</v>
      </c>
      <c r="I173" s="467">
        <f>Taulukko9[[#This Row],[Uudistuksen mukainen rahoitusvastuu yhteensä]]-Taulukko9[[#This Row],[Nykytila, kuntien osuus työmarkkinatuesta]]</f>
        <v>1727461.7992306368</v>
      </c>
    </row>
    <row r="174" spans="1:9">
      <c r="A174" s="456">
        <v>538</v>
      </c>
      <c r="B174" s="456" t="s">
        <v>174</v>
      </c>
      <c r="C174" s="457">
        <v>4695</v>
      </c>
      <c r="D174" s="458">
        <v>192713.14</v>
      </c>
      <c r="E174" s="458">
        <v>244710.7855</v>
      </c>
      <c r="F174" s="458">
        <v>9217.27</v>
      </c>
      <c r="G174" s="458">
        <v>39516.7912683752</v>
      </c>
      <c r="H174" s="459">
        <f>SUM(Taulukko9[[#This Row],[Uudistuksten mukainen osuus työmarkkinatuesta]:[Uudistuksen mukainen osuus ansiopäivärahasta]])</f>
        <v>293444.8467683752</v>
      </c>
      <c r="I174" s="467">
        <f>Taulukko9[[#This Row],[Uudistuksen mukainen rahoitusvastuu yhteensä]]-Taulukko9[[#This Row],[Nykytila, kuntien osuus työmarkkinatuesta]]</f>
        <v>100731.70676837518</v>
      </c>
    </row>
    <row r="175" spans="1:9">
      <c r="A175" s="456">
        <v>541</v>
      </c>
      <c r="B175" s="456" t="s">
        <v>175</v>
      </c>
      <c r="C175" s="457">
        <v>9130</v>
      </c>
      <c r="D175" s="458">
        <v>867205.68</v>
      </c>
      <c r="E175" s="458">
        <v>888286.32349999994</v>
      </c>
      <c r="F175" s="458">
        <v>41973.49</v>
      </c>
      <c r="G175" s="458">
        <v>179185.18011104901</v>
      </c>
      <c r="H175" s="459">
        <f>SUM(Taulukko9[[#This Row],[Uudistuksten mukainen osuus työmarkkinatuesta]:[Uudistuksen mukainen osuus ansiopäivärahasta]])</f>
        <v>1109444.9936110489</v>
      </c>
      <c r="I175" s="467">
        <f>Taulukko9[[#This Row],[Uudistuksen mukainen rahoitusvastuu yhteensä]]-Taulukko9[[#This Row],[Nykytila, kuntien osuus työmarkkinatuesta]]</f>
        <v>242239.31361104886</v>
      </c>
    </row>
    <row r="176" spans="1:9">
      <c r="A176" s="456">
        <v>543</v>
      </c>
      <c r="B176" s="456" t="s">
        <v>176</v>
      </c>
      <c r="C176" s="457">
        <v>44785</v>
      </c>
      <c r="D176" s="458">
        <v>2648821</v>
      </c>
      <c r="E176" s="458">
        <v>3058345.395</v>
      </c>
      <c r="F176" s="458">
        <v>144100.63500000001</v>
      </c>
      <c r="G176" s="458">
        <v>515778.47950699</v>
      </c>
      <c r="H176" s="459">
        <f>SUM(Taulukko9[[#This Row],[Uudistuksten mukainen osuus työmarkkinatuesta]:[Uudistuksen mukainen osuus ansiopäivärahasta]])</f>
        <v>3718224.5095069902</v>
      </c>
      <c r="I176" s="467">
        <f>Taulukko9[[#This Row],[Uudistuksen mukainen rahoitusvastuu yhteensä]]-Taulukko9[[#This Row],[Nykytila, kuntien osuus työmarkkinatuesta]]</f>
        <v>1069403.5095069902</v>
      </c>
    </row>
    <row r="177" spans="1:9">
      <c r="A177" s="456">
        <v>545</v>
      </c>
      <c r="B177" s="456" t="s">
        <v>177</v>
      </c>
      <c r="C177" s="457">
        <v>9621</v>
      </c>
      <c r="D177" s="458">
        <v>94640.36</v>
      </c>
      <c r="E177" s="458">
        <v>231522.394</v>
      </c>
      <c r="F177" s="458">
        <v>31477.764999999999</v>
      </c>
      <c r="G177" s="458">
        <v>86367.624326461693</v>
      </c>
      <c r="H177" s="459">
        <f>SUM(Taulukko9[[#This Row],[Uudistuksten mukainen osuus työmarkkinatuesta]:[Uudistuksen mukainen osuus ansiopäivärahasta]])</f>
        <v>349367.78332646168</v>
      </c>
      <c r="I177" s="467">
        <f>Taulukko9[[#This Row],[Uudistuksen mukainen rahoitusvastuu yhteensä]]-Taulukko9[[#This Row],[Nykytila, kuntien osuus työmarkkinatuesta]]</f>
        <v>254727.42332646169</v>
      </c>
    </row>
    <row r="178" spans="1:9">
      <c r="A178" s="456">
        <v>560</v>
      </c>
      <c r="B178" s="456" t="s">
        <v>178</v>
      </c>
      <c r="C178" s="457">
        <v>15669</v>
      </c>
      <c r="D178" s="458">
        <v>1394473.8</v>
      </c>
      <c r="E178" s="458">
        <v>1465683.135</v>
      </c>
      <c r="F178" s="458">
        <v>57283.762999999999</v>
      </c>
      <c r="G178" s="458">
        <v>224787.71871553999</v>
      </c>
      <c r="H178" s="459">
        <f>SUM(Taulukko9[[#This Row],[Uudistuksten mukainen osuus työmarkkinatuesta]:[Uudistuksen mukainen osuus ansiopäivärahasta]])</f>
        <v>1747754.6167155399</v>
      </c>
      <c r="I178" s="467">
        <f>Taulukko9[[#This Row],[Uudistuksen mukainen rahoitusvastuu yhteensä]]-Taulukko9[[#This Row],[Nykytila, kuntien osuus työmarkkinatuesta]]</f>
        <v>353280.8167155399</v>
      </c>
    </row>
    <row r="179" spans="1:9">
      <c r="A179" s="456">
        <v>561</v>
      </c>
      <c r="B179" s="456" t="s">
        <v>179</v>
      </c>
      <c r="C179" s="457">
        <v>1315</v>
      </c>
      <c r="D179" s="458">
        <v>57668.34</v>
      </c>
      <c r="E179" s="458">
        <v>86496.448999999993</v>
      </c>
      <c r="F179" s="458">
        <v>6838.915</v>
      </c>
      <c r="G179" s="458">
        <v>22893.895115656</v>
      </c>
      <c r="H179" s="459">
        <f>SUM(Taulukko9[[#This Row],[Uudistuksten mukainen osuus työmarkkinatuesta]:[Uudistuksen mukainen osuus ansiopäivärahasta]])</f>
        <v>116229.25911565599</v>
      </c>
      <c r="I179" s="467">
        <f>Taulukko9[[#This Row],[Uudistuksen mukainen rahoitusvastuu yhteensä]]-Taulukko9[[#This Row],[Nykytila, kuntien osuus työmarkkinatuesta]]</f>
        <v>58560.919115655997</v>
      </c>
    </row>
    <row r="180" spans="1:9">
      <c r="A180" s="456">
        <v>562</v>
      </c>
      <c r="B180" s="456" t="s">
        <v>180</v>
      </c>
      <c r="C180" s="457">
        <v>8839</v>
      </c>
      <c r="D180" s="458">
        <v>612580.18000000005</v>
      </c>
      <c r="E180" s="458">
        <v>699981.22500000009</v>
      </c>
      <c r="F180" s="458">
        <v>34308.25</v>
      </c>
      <c r="G180" s="458">
        <v>116171.86556241701</v>
      </c>
      <c r="H180" s="459">
        <f>SUM(Taulukko9[[#This Row],[Uudistuksten mukainen osuus työmarkkinatuesta]:[Uudistuksen mukainen osuus ansiopäivärahasta]])</f>
        <v>850461.34056241706</v>
      </c>
      <c r="I180" s="467">
        <f>Taulukko9[[#This Row],[Uudistuksen mukainen rahoitusvastuu yhteensä]]-Taulukko9[[#This Row],[Nykytila, kuntien osuus työmarkkinatuesta]]</f>
        <v>237881.160562417</v>
      </c>
    </row>
    <row r="181" spans="1:9">
      <c r="A181" s="456">
        <v>563</v>
      </c>
      <c r="B181" s="456" t="s">
        <v>181</v>
      </c>
      <c r="C181" s="457">
        <v>6978</v>
      </c>
      <c r="D181" s="458">
        <v>333981.23</v>
      </c>
      <c r="E181" s="458">
        <v>439490.38399999996</v>
      </c>
      <c r="F181" s="458">
        <v>29262.391</v>
      </c>
      <c r="G181" s="458">
        <v>93449.870076280393</v>
      </c>
      <c r="H181" s="459">
        <f>SUM(Taulukko9[[#This Row],[Uudistuksten mukainen osuus työmarkkinatuesta]:[Uudistuksen mukainen osuus ansiopäivärahasta]])</f>
        <v>562202.64507628034</v>
      </c>
      <c r="I181" s="467">
        <f>Taulukko9[[#This Row],[Uudistuksen mukainen rahoitusvastuu yhteensä]]-Taulukko9[[#This Row],[Nykytila, kuntien osuus työmarkkinatuesta]]</f>
        <v>228221.41507628036</v>
      </c>
    </row>
    <row r="182" spans="1:9">
      <c r="A182" s="456">
        <v>564</v>
      </c>
      <c r="B182" s="456" t="s">
        <v>182</v>
      </c>
      <c r="C182" s="457">
        <v>214633</v>
      </c>
      <c r="D182" s="458">
        <v>24604494.010000002</v>
      </c>
      <c r="E182" s="458">
        <v>27562585.112500001</v>
      </c>
      <c r="F182" s="458">
        <v>986310.44</v>
      </c>
      <c r="G182" s="458">
        <v>3516438.61068185</v>
      </c>
      <c r="H182" s="459">
        <f>SUM(Taulukko9[[#This Row],[Uudistuksten mukainen osuus työmarkkinatuesta]:[Uudistuksen mukainen osuus ansiopäivärahasta]])</f>
        <v>32065334.163181853</v>
      </c>
      <c r="I182" s="467">
        <f>Taulukko9[[#This Row],[Uudistuksen mukainen rahoitusvastuu yhteensä]]-Taulukko9[[#This Row],[Nykytila, kuntien osuus työmarkkinatuesta]]</f>
        <v>7460840.1531818509</v>
      </c>
    </row>
    <row r="183" spans="1:9">
      <c r="A183" s="456">
        <v>576</v>
      </c>
      <c r="B183" s="456" t="s">
        <v>183</v>
      </c>
      <c r="C183" s="457">
        <v>2726</v>
      </c>
      <c r="D183" s="458">
        <v>162567.12</v>
      </c>
      <c r="E183" s="458">
        <v>184107.45150000002</v>
      </c>
      <c r="F183" s="458">
        <v>21050.524000000001</v>
      </c>
      <c r="G183" s="458">
        <v>62778.925707056398</v>
      </c>
      <c r="H183" s="459">
        <f>SUM(Taulukko9[[#This Row],[Uudistuksten mukainen osuus työmarkkinatuesta]:[Uudistuksen mukainen osuus ansiopäivärahasta]])</f>
        <v>267936.90120705642</v>
      </c>
      <c r="I183" s="467">
        <f>Taulukko9[[#This Row],[Uudistuksen mukainen rahoitusvastuu yhteensä]]-Taulukko9[[#This Row],[Nykytila, kuntien osuus työmarkkinatuesta]]</f>
        <v>105369.78120705643</v>
      </c>
    </row>
    <row r="184" spans="1:9">
      <c r="A184" s="456">
        <v>577</v>
      </c>
      <c r="B184" s="456" t="s">
        <v>184</v>
      </c>
      <c r="C184" s="457">
        <v>11236</v>
      </c>
      <c r="D184" s="458">
        <v>73574.86</v>
      </c>
      <c r="E184" s="458">
        <v>464413.91149999999</v>
      </c>
      <c r="F184" s="458">
        <v>29609.78</v>
      </c>
      <c r="G184" s="458">
        <v>103696.66931178801</v>
      </c>
      <c r="H184" s="459">
        <f>SUM(Taulukko9[[#This Row],[Uudistuksten mukainen osuus työmarkkinatuesta]:[Uudistuksen mukainen osuus ansiopäivärahasta]])</f>
        <v>597720.36081178801</v>
      </c>
      <c r="I184" s="467">
        <f>Taulukko9[[#This Row],[Uudistuksen mukainen rahoitusvastuu yhteensä]]-Taulukko9[[#This Row],[Nykytila, kuntien osuus työmarkkinatuesta]]</f>
        <v>524145.50081178802</v>
      </c>
    </row>
    <row r="185" spans="1:9">
      <c r="A185" s="456">
        <v>578</v>
      </c>
      <c r="B185" s="456" t="s">
        <v>185</v>
      </c>
      <c r="C185" s="457">
        <v>3037</v>
      </c>
      <c r="D185" s="458">
        <v>121340</v>
      </c>
      <c r="E185" s="458">
        <v>164997.66200000001</v>
      </c>
      <c r="F185" s="458">
        <v>15236.455</v>
      </c>
      <c r="G185" s="458">
        <v>69470.603338471294</v>
      </c>
      <c r="H185" s="459">
        <f>SUM(Taulukko9[[#This Row],[Uudistuksten mukainen osuus työmarkkinatuesta]:[Uudistuksen mukainen osuus ansiopäivärahasta]])</f>
        <v>249704.72033847129</v>
      </c>
      <c r="I185" s="467">
        <f>Taulukko9[[#This Row],[Uudistuksen mukainen rahoitusvastuu yhteensä]]-Taulukko9[[#This Row],[Nykytila, kuntien osuus työmarkkinatuesta]]</f>
        <v>128364.72033847129</v>
      </c>
    </row>
    <row r="186" spans="1:9">
      <c r="A186" s="456">
        <v>580</v>
      </c>
      <c r="B186" s="456" t="s">
        <v>186</v>
      </c>
      <c r="C186" s="457">
        <v>4366</v>
      </c>
      <c r="D186" s="458">
        <v>277147</v>
      </c>
      <c r="E186" s="458">
        <v>315536.65150000004</v>
      </c>
      <c r="F186" s="458">
        <v>17661.776999999998</v>
      </c>
      <c r="G186" s="458">
        <v>73156.245689238</v>
      </c>
      <c r="H186" s="459">
        <f>SUM(Taulukko9[[#This Row],[Uudistuksten mukainen osuus työmarkkinatuesta]:[Uudistuksen mukainen osuus ansiopäivärahasta]])</f>
        <v>406354.67418923805</v>
      </c>
      <c r="I186" s="467">
        <f>Taulukko9[[#This Row],[Uudistuksen mukainen rahoitusvastuu yhteensä]]-Taulukko9[[#This Row],[Nykytila, kuntien osuus työmarkkinatuesta]]</f>
        <v>129207.67418923805</v>
      </c>
    </row>
    <row r="187" spans="1:9">
      <c r="A187" s="456">
        <v>581</v>
      </c>
      <c r="B187" s="456" t="s">
        <v>187</v>
      </c>
      <c r="C187" s="457">
        <v>6123</v>
      </c>
      <c r="D187" s="458">
        <v>270535.34000000003</v>
      </c>
      <c r="E187" s="458">
        <v>575214.23</v>
      </c>
      <c r="F187" s="458">
        <v>23767.594000000001</v>
      </c>
      <c r="G187" s="458">
        <v>99423.3831292994</v>
      </c>
      <c r="H187" s="459">
        <f>SUM(Taulukko9[[#This Row],[Uudistuksten mukainen osuus työmarkkinatuesta]:[Uudistuksen mukainen osuus ansiopäivärahasta]])</f>
        <v>698405.20712929941</v>
      </c>
      <c r="I187" s="467">
        <f>Taulukko9[[#This Row],[Uudistuksen mukainen rahoitusvastuu yhteensä]]-Taulukko9[[#This Row],[Nykytila, kuntien osuus työmarkkinatuesta]]</f>
        <v>427869.86712929938</v>
      </c>
    </row>
    <row r="188" spans="1:9">
      <c r="A188" s="456">
        <v>583</v>
      </c>
      <c r="B188" s="456" t="s">
        <v>188</v>
      </c>
      <c r="C188" s="457">
        <v>912</v>
      </c>
      <c r="D188" s="458">
        <v>30673.759999999998</v>
      </c>
      <c r="E188" s="458">
        <v>24896.674999999999</v>
      </c>
      <c r="F188" s="458">
        <v>3171.4989999999998</v>
      </c>
      <c r="G188" s="458">
        <v>29848.013337981301</v>
      </c>
      <c r="H188" s="459">
        <f>SUM(Taulukko9[[#This Row],[Uudistuksten mukainen osuus työmarkkinatuesta]:[Uudistuksen mukainen osuus ansiopäivärahasta]])</f>
        <v>57916.187337981304</v>
      </c>
      <c r="I188" s="467">
        <f>Taulukko9[[#This Row],[Uudistuksen mukainen rahoitusvastuu yhteensä]]-Taulukko9[[#This Row],[Nykytila, kuntien osuus työmarkkinatuesta]]</f>
        <v>27242.427337981306</v>
      </c>
    </row>
    <row r="189" spans="1:9">
      <c r="A189" s="456">
        <v>584</v>
      </c>
      <c r="B189" s="456" t="s">
        <v>189</v>
      </c>
      <c r="C189" s="457">
        <v>2578</v>
      </c>
      <c r="D189" s="458">
        <v>127238.99</v>
      </c>
      <c r="E189" s="458">
        <v>182409.08799999999</v>
      </c>
      <c r="F189" s="458">
        <v>6804.0619999999999</v>
      </c>
      <c r="G189" s="458">
        <v>20819.0666954392</v>
      </c>
      <c r="H189" s="459">
        <f>SUM(Taulukko9[[#This Row],[Uudistuksten mukainen osuus työmarkkinatuesta]:[Uudistuksen mukainen osuus ansiopäivärahasta]])</f>
        <v>210032.21669543919</v>
      </c>
      <c r="I189" s="467">
        <f>Taulukko9[[#This Row],[Uudistuksen mukainen rahoitusvastuu yhteensä]]-Taulukko9[[#This Row],[Nykytila, kuntien osuus työmarkkinatuesta]]</f>
        <v>82793.226695439182</v>
      </c>
    </row>
    <row r="190" spans="1:9">
      <c r="A190" s="456">
        <v>588</v>
      </c>
      <c r="B190" s="456" t="s">
        <v>190</v>
      </c>
      <c r="C190" s="457">
        <v>1577</v>
      </c>
      <c r="D190" s="458">
        <v>99681.3</v>
      </c>
      <c r="E190" s="458">
        <v>140977.09850000002</v>
      </c>
      <c r="F190" s="458">
        <v>5323.03</v>
      </c>
      <c r="G190" s="458">
        <v>13323.4517367851</v>
      </c>
      <c r="H190" s="459">
        <f>SUM(Taulukko9[[#This Row],[Uudistuksten mukainen osuus työmarkkinatuesta]:[Uudistuksen mukainen osuus ansiopäivärahasta]])</f>
        <v>159623.58023678511</v>
      </c>
      <c r="I190" s="467">
        <f>Taulukko9[[#This Row],[Uudistuksen mukainen rahoitusvastuu yhteensä]]-Taulukko9[[#This Row],[Nykytila, kuntien osuus työmarkkinatuesta]]</f>
        <v>59942.280236785111</v>
      </c>
    </row>
    <row r="191" spans="1:9">
      <c r="A191" s="456">
        <v>592</v>
      </c>
      <c r="B191" s="456" t="s">
        <v>191</v>
      </c>
      <c r="C191" s="457">
        <v>3596</v>
      </c>
      <c r="D191" s="458">
        <v>264241.98</v>
      </c>
      <c r="E191" s="458">
        <v>363294.76</v>
      </c>
      <c r="F191" s="458">
        <v>19757.535</v>
      </c>
      <c r="G191" s="458">
        <v>53580.155683997698</v>
      </c>
      <c r="H191" s="459">
        <f>SUM(Taulukko9[[#This Row],[Uudistuksten mukainen osuus työmarkkinatuesta]:[Uudistuksen mukainen osuus ansiopäivärahasta]])</f>
        <v>436632.45068399771</v>
      </c>
      <c r="I191" s="467">
        <f>Taulukko9[[#This Row],[Uudistuksen mukainen rahoitusvastuu yhteensä]]-Taulukko9[[#This Row],[Nykytila, kuntien osuus työmarkkinatuesta]]</f>
        <v>172390.47068399773</v>
      </c>
    </row>
    <row r="192" spans="1:9">
      <c r="A192" s="456">
        <v>593</v>
      </c>
      <c r="B192" s="456" t="s">
        <v>192</v>
      </c>
      <c r="C192" s="457">
        <v>17050</v>
      </c>
      <c r="D192" s="458">
        <v>986527.25</v>
      </c>
      <c r="E192" s="458">
        <v>1716671.8</v>
      </c>
      <c r="F192" s="458">
        <v>54202.614999999998</v>
      </c>
      <c r="G192" s="458">
        <v>194260.083306335</v>
      </c>
      <c r="H192" s="459">
        <f>SUM(Taulukko9[[#This Row],[Uudistuksten mukainen osuus työmarkkinatuesta]:[Uudistuksen mukainen osuus ansiopäivärahasta]])</f>
        <v>1965134.498306335</v>
      </c>
      <c r="I192" s="467">
        <f>Taulukko9[[#This Row],[Uudistuksen mukainen rahoitusvastuu yhteensä]]-Taulukko9[[#This Row],[Nykytila, kuntien osuus työmarkkinatuesta]]</f>
        <v>978607.24830633495</v>
      </c>
    </row>
    <row r="193" spans="1:9">
      <c r="A193" s="456">
        <v>595</v>
      </c>
      <c r="B193" s="456" t="s">
        <v>193</v>
      </c>
      <c r="C193" s="457">
        <v>4073</v>
      </c>
      <c r="D193" s="458">
        <v>215047.83</v>
      </c>
      <c r="E193" s="458">
        <v>275649.28249999997</v>
      </c>
      <c r="F193" s="458">
        <v>15053.084000000001</v>
      </c>
      <c r="G193" s="458">
        <v>42649.535557797499</v>
      </c>
      <c r="H193" s="459">
        <f>SUM(Taulukko9[[#This Row],[Uudistuksten mukainen osuus työmarkkinatuesta]:[Uudistuksen mukainen osuus ansiopäivärahasta]])</f>
        <v>333351.90205779742</v>
      </c>
      <c r="I193" s="467">
        <f>Taulukko9[[#This Row],[Uudistuksen mukainen rahoitusvastuu yhteensä]]-Taulukko9[[#This Row],[Nykytila, kuntien osuus työmarkkinatuesta]]</f>
        <v>118304.07205779743</v>
      </c>
    </row>
    <row r="194" spans="1:9">
      <c r="A194" s="456">
        <v>598</v>
      </c>
      <c r="B194" s="456" t="s">
        <v>194</v>
      </c>
      <c r="C194" s="457">
        <v>19475</v>
      </c>
      <c r="D194" s="458">
        <v>958185.73</v>
      </c>
      <c r="E194" s="458">
        <v>1983209.9645</v>
      </c>
      <c r="F194" s="458">
        <v>69693.880999999994</v>
      </c>
      <c r="G194" s="458">
        <v>200993.58091489601</v>
      </c>
      <c r="H194" s="459">
        <f>SUM(Taulukko9[[#This Row],[Uudistuksten mukainen osuus työmarkkinatuesta]:[Uudistuksen mukainen osuus ansiopäivärahasta]])</f>
        <v>2253897.4264148963</v>
      </c>
      <c r="I194" s="467">
        <f>Taulukko9[[#This Row],[Uudistuksen mukainen rahoitusvastuu yhteensä]]-Taulukko9[[#This Row],[Nykytila, kuntien osuus työmarkkinatuesta]]</f>
        <v>1295711.6964148963</v>
      </c>
    </row>
    <row r="195" spans="1:9">
      <c r="A195" s="456">
        <v>599</v>
      </c>
      <c r="B195" s="456" t="s">
        <v>195</v>
      </c>
      <c r="C195" s="457">
        <v>11225</v>
      </c>
      <c r="D195" s="458">
        <v>172136.47</v>
      </c>
      <c r="E195" s="458">
        <v>285973.67099999997</v>
      </c>
      <c r="F195" s="458">
        <v>17684.952000000001</v>
      </c>
      <c r="G195" s="458">
        <v>37170.069205054999</v>
      </c>
      <c r="H195" s="459">
        <f>SUM(Taulukko9[[#This Row],[Uudistuksten mukainen osuus työmarkkinatuesta]:[Uudistuksen mukainen osuus ansiopäivärahasta]])</f>
        <v>340828.69220505498</v>
      </c>
      <c r="I195" s="467">
        <f>Taulukko9[[#This Row],[Uudistuksen mukainen rahoitusvastuu yhteensä]]-Taulukko9[[#This Row],[Nykytila, kuntien osuus työmarkkinatuesta]]</f>
        <v>168692.22220505498</v>
      </c>
    </row>
    <row r="196" spans="1:9">
      <c r="A196" s="456">
        <v>601</v>
      </c>
      <c r="B196" s="456" t="s">
        <v>196</v>
      </c>
      <c r="C196" s="457">
        <v>3739</v>
      </c>
      <c r="D196" s="458">
        <v>192928.21</v>
      </c>
      <c r="E196" s="458">
        <v>218723.84899999999</v>
      </c>
      <c r="F196" s="458">
        <v>23271.911</v>
      </c>
      <c r="G196" s="458">
        <v>76884.249146843897</v>
      </c>
      <c r="H196" s="459">
        <f>SUM(Taulukko9[[#This Row],[Uudistuksten mukainen osuus työmarkkinatuesta]:[Uudistuksen mukainen osuus ansiopäivärahasta]])</f>
        <v>318880.00914684386</v>
      </c>
      <c r="I196" s="467">
        <f>Taulukko9[[#This Row],[Uudistuksen mukainen rahoitusvastuu yhteensä]]-Taulukko9[[#This Row],[Nykytila, kuntien osuus työmarkkinatuesta]]</f>
        <v>125951.79914684387</v>
      </c>
    </row>
    <row r="197" spans="1:9">
      <c r="A197" s="456">
        <v>604</v>
      </c>
      <c r="B197" s="456" t="s">
        <v>197</v>
      </c>
      <c r="C197" s="457">
        <v>20763</v>
      </c>
      <c r="D197" s="458">
        <v>989756.41</v>
      </c>
      <c r="E197" s="458">
        <v>1411682.1465</v>
      </c>
      <c r="F197" s="458">
        <v>51444.794999999998</v>
      </c>
      <c r="G197" s="458">
        <v>244959.288750304</v>
      </c>
      <c r="H197" s="459">
        <f>SUM(Taulukko9[[#This Row],[Uudistuksten mukainen osuus työmarkkinatuesta]:[Uudistuksen mukainen osuus ansiopäivärahasta]])</f>
        <v>1708086.2302503039</v>
      </c>
      <c r="I197" s="467">
        <f>Taulukko9[[#This Row],[Uudistuksen mukainen rahoitusvastuu yhteensä]]-Taulukko9[[#This Row],[Nykytila, kuntien osuus työmarkkinatuesta]]</f>
        <v>718329.82025030383</v>
      </c>
    </row>
    <row r="198" spans="1:9">
      <c r="A198" s="456">
        <v>607</v>
      </c>
      <c r="B198" s="456" t="s">
        <v>198</v>
      </c>
      <c r="C198" s="457">
        <v>4064</v>
      </c>
      <c r="D198" s="458">
        <v>447739.6</v>
      </c>
      <c r="E198" s="458">
        <v>464986.56699999998</v>
      </c>
      <c r="F198" s="458">
        <v>22164.107</v>
      </c>
      <c r="G198" s="458">
        <v>88324.023874763006</v>
      </c>
      <c r="H198" s="459">
        <f>SUM(Taulukko9[[#This Row],[Uudistuksten mukainen osuus työmarkkinatuesta]:[Uudistuksen mukainen osuus ansiopäivärahasta]])</f>
        <v>575474.69787476305</v>
      </c>
      <c r="I198" s="467">
        <f>Taulukko9[[#This Row],[Uudistuksen mukainen rahoitusvastuu yhteensä]]-Taulukko9[[#This Row],[Nykytila, kuntien osuus työmarkkinatuesta]]</f>
        <v>127735.09787476307</v>
      </c>
    </row>
    <row r="199" spans="1:9">
      <c r="A199" s="456">
        <v>608</v>
      </c>
      <c r="B199" s="456" t="s">
        <v>199</v>
      </c>
      <c r="C199" s="457">
        <v>1943</v>
      </c>
      <c r="D199" s="458">
        <v>76791.899999999994</v>
      </c>
      <c r="E199" s="458">
        <v>140710.09450000001</v>
      </c>
      <c r="F199" s="458">
        <v>2401.8110000000001</v>
      </c>
      <c r="G199" s="458">
        <v>33615.995541662502</v>
      </c>
      <c r="H199" s="459">
        <f>SUM(Taulukko9[[#This Row],[Uudistuksten mukainen osuus työmarkkinatuesta]:[Uudistuksen mukainen osuus ansiopäivärahasta]])</f>
        <v>176727.9010416625</v>
      </c>
      <c r="I199" s="467">
        <f>Taulukko9[[#This Row],[Uudistuksen mukainen rahoitusvastuu yhteensä]]-Taulukko9[[#This Row],[Nykytila, kuntien osuus työmarkkinatuesta]]</f>
        <v>99936.001041662501</v>
      </c>
    </row>
    <row r="200" spans="1:9">
      <c r="A200" s="456">
        <v>609</v>
      </c>
      <c r="B200" s="456" t="s">
        <v>200</v>
      </c>
      <c r="C200" s="457">
        <v>83106</v>
      </c>
      <c r="D200" s="458">
        <v>6633297.7599999998</v>
      </c>
      <c r="E200" s="458">
        <v>9281735.6420000009</v>
      </c>
      <c r="F200" s="458">
        <v>373387.891</v>
      </c>
      <c r="G200" s="458">
        <v>1673884.8628370201</v>
      </c>
      <c r="H200" s="459">
        <f>SUM(Taulukko9[[#This Row],[Uudistuksten mukainen osuus työmarkkinatuesta]:[Uudistuksen mukainen osuus ansiopäivärahasta]])</f>
        <v>11329008.395837022</v>
      </c>
      <c r="I200" s="467">
        <f>Taulukko9[[#This Row],[Uudistuksen mukainen rahoitusvastuu yhteensä]]-Taulukko9[[#This Row],[Nykytila, kuntien osuus työmarkkinatuesta]]</f>
        <v>4695710.6358370222</v>
      </c>
    </row>
    <row r="201" spans="1:9">
      <c r="A201" s="456">
        <v>611</v>
      </c>
      <c r="B201" s="456" t="s">
        <v>201</v>
      </c>
      <c r="C201" s="457">
        <v>4973</v>
      </c>
      <c r="D201" s="458">
        <v>248552.21</v>
      </c>
      <c r="E201" s="458">
        <v>262650.33549999999</v>
      </c>
      <c r="F201" s="458">
        <v>13923.525</v>
      </c>
      <c r="G201" s="458">
        <v>51769.6535387943</v>
      </c>
      <c r="H201" s="459">
        <f>SUM(Taulukko9[[#This Row],[Uudistuksten mukainen osuus työmarkkinatuesta]:[Uudistuksen mukainen osuus ansiopäivärahasta]])</f>
        <v>328343.51403879432</v>
      </c>
      <c r="I201" s="467">
        <f>Taulukko9[[#This Row],[Uudistuksen mukainen rahoitusvastuu yhteensä]]-Taulukko9[[#This Row],[Nykytila, kuntien osuus työmarkkinatuesta]]</f>
        <v>79791.304038794333</v>
      </c>
    </row>
    <row r="202" spans="1:9">
      <c r="A202" s="456">
        <v>614</v>
      </c>
      <c r="B202" s="456" t="s">
        <v>202</v>
      </c>
      <c r="C202" s="457">
        <v>2923</v>
      </c>
      <c r="D202" s="458">
        <v>159079.87</v>
      </c>
      <c r="E202" s="458">
        <v>224256.60200000001</v>
      </c>
      <c r="F202" s="458">
        <v>9344.5419999999995</v>
      </c>
      <c r="G202" s="458">
        <v>96700.265125027596</v>
      </c>
      <c r="H202" s="459">
        <f>SUM(Taulukko9[[#This Row],[Uudistuksten mukainen osuus työmarkkinatuesta]:[Uudistuksen mukainen osuus ansiopäivärahasta]])</f>
        <v>330301.4091250276</v>
      </c>
      <c r="I202" s="467">
        <f>Taulukko9[[#This Row],[Uudistuksen mukainen rahoitusvastuu yhteensä]]-Taulukko9[[#This Row],[Nykytila, kuntien osuus työmarkkinatuesta]]</f>
        <v>171221.5391250276</v>
      </c>
    </row>
    <row r="203" spans="1:9">
      <c r="A203" s="456">
        <v>615</v>
      </c>
      <c r="B203" s="456" t="s">
        <v>203</v>
      </c>
      <c r="C203" s="457">
        <v>7479</v>
      </c>
      <c r="D203" s="458">
        <v>504244.22</v>
      </c>
      <c r="E203" s="458">
        <v>635918.76699999999</v>
      </c>
      <c r="F203" s="458">
        <v>37739.044999999998</v>
      </c>
      <c r="G203" s="458">
        <v>191880.504439293</v>
      </c>
      <c r="H203" s="459">
        <f>SUM(Taulukko9[[#This Row],[Uudistuksten mukainen osuus työmarkkinatuesta]:[Uudistuksen mukainen osuus ansiopäivärahasta]])</f>
        <v>865538.31643929309</v>
      </c>
      <c r="I203" s="467">
        <f>Taulukko9[[#This Row],[Uudistuksen mukainen rahoitusvastuu yhteensä]]-Taulukko9[[#This Row],[Nykytila, kuntien osuus työmarkkinatuesta]]</f>
        <v>361294.09643929312</v>
      </c>
    </row>
    <row r="204" spans="1:9">
      <c r="A204" s="456">
        <v>616</v>
      </c>
      <c r="B204" s="456" t="s">
        <v>204</v>
      </c>
      <c r="C204" s="457">
        <v>1781</v>
      </c>
      <c r="D204" s="458">
        <v>152967.76999999999</v>
      </c>
      <c r="E204" s="458">
        <v>159270.40649999998</v>
      </c>
      <c r="F204" s="458">
        <v>4787.1660000000002</v>
      </c>
      <c r="G204" s="458">
        <v>25457.378345823901</v>
      </c>
      <c r="H204" s="459">
        <f>SUM(Taulukko9[[#This Row],[Uudistuksten mukainen osuus työmarkkinatuesta]:[Uudistuksen mukainen osuus ansiopäivärahasta]])</f>
        <v>189514.95084582389</v>
      </c>
      <c r="I204" s="467">
        <f>Taulukko9[[#This Row],[Uudistuksen mukainen rahoitusvastuu yhteensä]]-Taulukko9[[#This Row],[Nykytila, kuntien osuus työmarkkinatuesta]]</f>
        <v>36547.180845823896</v>
      </c>
    </row>
    <row r="205" spans="1:9">
      <c r="A205" s="456">
        <v>619</v>
      </c>
      <c r="B205" s="456" t="s">
        <v>205</v>
      </c>
      <c r="C205" s="457">
        <v>2650</v>
      </c>
      <c r="D205" s="458">
        <v>33988.839999999997</v>
      </c>
      <c r="E205" s="458">
        <v>174875.359</v>
      </c>
      <c r="F205" s="458">
        <v>7634.0010000000002</v>
      </c>
      <c r="G205" s="458">
        <v>28136.666247024099</v>
      </c>
      <c r="H205" s="459">
        <f>SUM(Taulukko9[[#This Row],[Uudistuksten mukainen osuus työmarkkinatuesta]:[Uudistuksen mukainen osuus ansiopäivärahasta]])</f>
        <v>210646.02624702407</v>
      </c>
      <c r="I205" s="467">
        <f>Taulukko9[[#This Row],[Uudistuksen mukainen rahoitusvastuu yhteensä]]-Taulukko9[[#This Row],[Nykytila, kuntien osuus työmarkkinatuesta]]</f>
        <v>176657.18624702407</v>
      </c>
    </row>
    <row r="206" spans="1:9">
      <c r="A206" s="456">
        <v>620</v>
      </c>
      <c r="B206" s="456" t="s">
        <v>206</v>
      </c>
      <c r="C206" s="457">
        <v>2359</v>
      </c>
      <c r="D206" s="458">
        <v>201131.25</v>
      </c>
      <c r="E206" s="458">
        <v>279440.95500000002</v>
      </c>
      <c r="F206" s="458">
        <v>16192.111000000001</v>
      </c>
      <c r="G206" s="458">
        <v>64617.640011820797</v>
      </c>
      <c r="H206" s="459">
        <f>SUM(Taulukko9[[#This Row],[Uudistuksten mukainen osuus työmarkkinatuesta]:[Uudistuksen mukainen osuus ansiopäivärahasta]])</f>
        <v>360250.70601182082</v>
      </c>
      <c r="I206" s="467">
        <f>Taulukko9[[#This Row],[Uudistuksen mukainen rahoitusvastuu yhteensä]]-Taulukko9[[#This Row],[Nykytila, kuntien osuus työmarkkinatuesta]]</f>
        <v>159119.45601182082</v>
      </c>
    </row>
    <row r="207" spans="1:9">
      <c r="A207" s="456">
        <v>623</v>
      </c>
      <c r="B207" s="456" t="s">
        <v>207</v>
      </c>
      <c r="C207" s="457">
        <v>2108</v>
      </c>
      <c r="D207" s="458">
        <v>113557.13</v>
      </c>
      <c r="E207" s="458">
        <v>149449.72100000002</v>
      </c>
      <c r="F207" s="458">
        <v>2251.7930000000001</v>
      </c>
      <c r="G207" s="458">
        <v>24830.6370160025</v>
      </c>
      <c r="H207" s="459">
        <f>SUM(Taulukko9[[#This Row],[Uudistuksten mukainen osuus työmarkkinatuesta]:[Uudistuksen mukainen osuus ansiopäivärahasta]])</f>
        <v>176532.15101600252</v>
      </c>
      <c r="I207" s="467">
        <f>Taulukko9[[#This Row],[Uudistuksen mukainen rahoitusvastuu yhteensä]]-Taulukko9[[#This Row],[Nykytila, kuntien osuus työmarkkinatuesta]]</f>
        <v>62975.021016002516</v>
      </c>
    </row>
    <row r="208" spans="1:9">
      <c r="A208" s="456">
        <v>624</v>
      </c>
      <c r="B208" s="456" t="s">
        <v>208</v>
      </c>
      <c r="C208" s="457">
        <v>5065</v>
      </c>
      <c r="D208" s="458">
        <v>378160.26</v>
      </c>
      <c r="E208" s="458">
        <v>413155.22499999998</v>
      </c>
      <c r="F208" s="458">
        <v>22884.491000000002</v>
      </c>
      <c r="G208" s="458">
        <v>76833.472138857702</v>
      </c>
      <c r="H208" s="459">
        <f>SUM(Taulukko9[[#This Row],[Uudistuksten mukainen osuus työmarkkinatuesta]:[Uudistuksen mukainen osuus ansiopäivärahasta]])</f>
        <v>512873.18813885766</v>
      </c>
      <c r="I208" s="467">
        <f>Taulukko9[[#This Row],[Uudistuksen mukainen rahoitusvastuu yhteensä]]-Taulukko9[[#This Row],[Nykytila, kuntien osuus työmarkkinatuesta]]</f>
        <v>134712.92813885765</v>
      </c>
    </row>
    <row r="209" spans="1:9">
      <c r="A209" s="456">
        <v>625</v>
      </c>
      <c r="B209" s="456" t="s">
        <v>209</v>
      </c>
      <c r="C209" s="457">
        <v>2980</v>
      </c>
      <c r="D209" s="458">
        <v>227316.07</v>
      </c>
      <c r="E209" s="458">
        <v>252199.48550000001</v>
      </c>
      <c r="F209" s="458">
        <v>13730.213</v>
      </c>
      <c r="G209" s="458">
        <v>31642.677788046101</v>
      </c>
      <c r="H209" s="459">
        <f>SUM(Taulukko9[[#This Row],[Uudistuksten mukainen osuus työmarkkinatuesta]:[Uudistuksen mukainen osuus ansiopäivärahasta]])</f>
        <v>297572.37628804613</v>
      </c>
      <c r="I209" s="467">
        <f>Taulukko9[[#This Row],[Uudistuksen mukainen rahoitusvastuu yhteensä]]-Taulukko9[[#This Row],[Nykytila, kuntien osuus työmarkkinatuesta]]</f>
        <v>70256.306288046122</v>
      </c>
    </row>
    <row r="210" spans="1:9">
      <c r="A210" s="456">
        <v>626</v>
      </c>
      <c r="B210" s="456" t="s">
        <v>210</v>
      </c>
      <c r="C210" s="457">
        <v>4756</v>
      </c>
      <c r="D210" s="458">
        <v>251474.86</v>
      </c>
      <c r="E210" s="458">
        <v>398579.89300000004</v>
      </c>
      <c r="F210" s="458">
        <v>24417.038</v>
      </c>
      <c r="G210" s="458">
        <v>108808.55620259</v>
      </c>
      <c r="H210" s="459">
        <f>SUM(Taulukko9[[#This Row],[Uudistuksten mukainen osuus työmarkkinatuesta]:[Uudistuksen mukainen osuus ansiopäivärahasta]])</f>
        <v>531805.4872025901</v>
      </c>
      <c r="I210" s="467">
        <f>Taulukko9[[#This Row],[Uudistuksen mukainen rahoitusvastuu yhteensä]]-Taulukko9[[#This Row],[Nykytila, kuntien osuus työmarkkinatuesta]]</f>
        <v>280330.62720259011</v>
      </c>
    </row>
    <row r="211" spans="1:9">
      <c r="A211" s="456">
        <v>630</v>
      </c>
      <c r="B211" s="456" t="s">
        <v>211</v>
      </c>
      <c r="C211" s="457">
        <v>1646</v>
      </c>
      <c r="D211" s="458">
        <v>68008.009999999995</v>
      </c>
      <c r="E211" s="458">
        <v>73649.293999999994</v>
      </c>
      <c r="F211" s="458">
        <v>3876.0070000000001</v>
      </c>
      <c r="G211" s="458">
        <v>22700.586101606401</v>
      </c>
      <c r="H211" s="459">
        <f>SUM(Taulukko9[[#This Row],[Uudistuksten mukainen osuus työmarkkinatuesta]:[Uudistuksen mukainen osuus ansiopäivärahasta]])</f>
        <v>100225.88710160639</v>
      </c>
      <c r="I211" s="467">
        <f>Taulukko9[[#This Row],[Uudistuksen mukainen rahoitusvastuu yhteensä]]-Taulukko9[[#This Row],[Nykytila, kuntien osuus työmarkkinatuesta]]</f>
        <v>32217.877101606398</v>
      </c>
    </row>
    <row r="212" spans="1:9">
      <c r="A212" s="456">
        <v>631</v>
      </c>
      <c r="B212" s="456" t="s">
        <v>212</v>
      </c>
      <c r="C212" s="457">
        <v>1930</v>
      </c>
      <c r="D212" s="458">
        <v>96976.73</v>
      </c>
      <c r="E212" s="458">
        <v>139350.10500000001</v>
      </c>
      <c r="F212" s="458">
        <v>4904.3519999999999</v>
      </c>
      <c r="G212" s="458">
        <v>33701.874978083397</v>
      </c>
      <c r="H212" s="459">
        <f>SUM(Taulukko9[[#This Row],[Uudistuksten mukainen osuus työmarkkinatuesta]:[Uudistuksen mukainen osuus ansiopäivärahasta]])</f>
        <v>177956.33197808341</v>
      </c>
      <c r="I212" s="467">
        <f>Taulukko9[[#This Row],[Uudistuksen mukainen rahoitusvastuu yhteensä]]-Taulukko9[[#This Row],[Nykytila, kuntien osuus työmarkkinatuesta]]</f>
        <v>80979.601978083418</v>
      </c>
    </row>
    <row r="213" spans="1:9">
      <c r="A213" s="456">
        <v>635</v>
      </c>
      <c r="B213" s="456" t="s">
        <v>213</v>
      </c>
      <c r="C213" s="457">
        <v>6337</v>
      </c>
      <c r="D213" s="458">
        <v>112821.77</v>
      </c>
      <c r="E213" s="458">
        <v>318620.18449999997</v>
      </c>
      <c r="F213" s="458">
        <v>8044.83</v>
      </c>
      <c r="G213" s="458">
        <v>94463.775272222396</v>
      </c>
      <c r="H213" s="459">
        <f>SUM(Taulukko9[[#This Row],[Uudistuksten mukainen osuus työmarkkinatuesta]:[Uudistuksen mukainen osuus ansiopäivärahasta]])</f>
        <v>421128.7897722224</v>
      </c>
      <c r="I213" s="467">
        <f>Taulukko9[[#This Row],[Uudistuksen mukainen rahoitusvastuu yhteensä]]-Taulukko9[[#This Row],[Nykytila, kuntien osuus työmarkkinatuesta]]</f>
        <v>308307.01977222238</v>
      </c>
    </row>
    <row r="214" spans="1:9">
      <c r="A214" s="456">
        <v>636</v>
      </c>
      <c r="B214" s="456" t="s">
        <v>214</v>
      </c>
      <c r="C214" s="457">
        <v>8130</v>
      </c>
      <c r="D214" s="458">
        <v>417223.95</v>
      </c>
      <c r="E214" s="458">
        <v>451560.223</v>
      </c>
      <c r="F214" s="458">
        <v>22095.643</v>
      </c>
      <c r="G214" s="458">
        <v>100653.497842774</v>
      </c>
      <c r="H214" s="459">
        <f>SUM(Taulukko9[[#This Row],[Uudistuksten mukainen osuus työmarkkinatuesta]:[Uudistuksen mukainen osuus ansiopäivärahasta]])</f>
        <v>574309.36384277395</v>
      </c>
      <c r="I214" s="467">
        <f>Taulukko9[[#This Row],[Uudistuksen mukainen rahoitusvastuu yhteensä]]-Taulukko9[[#This Row],[Nykytila, kuntien osuus työmarkkinatuesta]]</f>
        <v>157085.41384277394</v>
      </c>
    </row>
    <row r="215" spans="1:9">
      <c r="A215" s="456">
        <v>638</v>
      </c>
      <c r="B215" s="456" t="s">
        <v>215</v>
      </c>
      <c r="C215" s="457">
        <v>51289</v>
      </c>
      <c r="D215" s="458">
        <v>5111274.3899999997</v>
      </c>
      <c r="E215" s="458">
        <v>5611518.2220000001</v>
      </c>
      <c r="F215" s="458">
        <v>184498.45499999999</v>
      </c>
      <c r="G215" s="458">
        <v>570675.27683029103</v>
      </c>
      <c r="H215" s="459">
        <f>SUM(Taulukko9[[#This Row],[Uudistuksten mukainen osuus työmarkkinatuesta]:[Uudistuksen mukainen osuus ansiopäivärahasta]])</f>
        <v>6366691.9538302915</v>
      </c>
      <c r="I215" s="467">
        <f>Taulukko9[[#This Row],[Uudistuksen mukainen rahoitusvastuu yhteensä]]-Taulukko9[[#This Row],[Nykytila, kuntien osuus työmarkkinatuesta]]</f>
        <v>1255417.5638302919</v>
      </c>
    </row>
    <row r="216" spans="1:9">
      <c r="A216" s="456">
        <v>678</v>
      </c>
      <c r="B216" s="456" t="s">
        <v>216</v>
      </c>
      <c r="C216" s="457">
        <v>23797</v>
      </c>
      <c r="D216" s="458">
        <v>2138828.04</v>
      </c>
      <c r="E216" s="458">
        <v>2664801.5010000002</v>
      </c>
      <c r="F216" s="458">
        <v>78196.641000000003</v>
      </c>
      <c r="G216" s="458">
        <v>416324.661785579</v>
      </c>
      <c r="H216" s="459">
        <f>SUM(Taulukko9[[#This Row],[Uudistuksten mukainen osuus työmarkkinatuesta]:[Uudistuksen mukainen osuus ansiopäivärahasta]])</f>
        <v>3159322.8037855788</v>
      </c>
      <c r="I216" s="467">
        <f>Taulukko9[[#This Row],[Uudistuksen mukainen rahoitusvastuu yhteensä]]-Taulukko9[[#This Row],[Nykytila, kuntien osuus työmarkkinatuesta]]</f>
        <v>1020494.7637855788</v>
      </c>
    </row>
    <row r="217" spans="1:9">
      <c r="A217" s="456">
        <v>680</v>
      </c>
      <c r="B217" s="456" t="s">
        <v>217</v>
      </c>
      <c r="C217" s="457">
        <v>25331</v>
      </c>
      <c r="D217" s="458">
        <v>789960.67</v>
      </c>
      <c r="E217" s="458">
        <v>1712496.2555</v>
      </c>
      <c r="F217" s="458">
        <v>109884.371</v>
      </c>
      <c r="G217" s="458">
        <v>350812.52733485401</v>
      </c>
      <c r="H217" s="459">
        <f>SUM(Taulukko9[[#This Row],[Uudistuksten mukainen osuus työmarkkinatuesta]:[Uudistuksen mukainen osuus ansiopäivärahasta]])</f>
        <v>2173193.1538348543</v>
      </c>
      <c r="I217" s="467">
        <f>Taulukko9[[#This Row],[Uudistuksen mukainen rahoitusvastuu yhteensä]]-Taulukko9[[#This Row],[Nykytila, kuntien osuus työmarkkinatuesta]]</f>
        <v>1383232.4838348543</v>
      </c>
    </row>
    <row r="218" spans="1:9">
      <c r="A218" s="456">
        <v>681</v>
      </c>
      <c r="B218" s="456" t="s">
        <v>218</v>
      </c>
      <c r="C218" s="457">
        <v>3297</v>
      </c>
      <c r="D218" s="458">
        <v>166078.43</v>
      </c>
      <c r="E218" s="458">
        <v>224150.7335</v>
      </c>
      <c r="F218" s="458">
        <v>13942.704</v>
      </c>
      <c r="G218" s="458">
        <v>36711.098771461002</v>
      </c>
      <c r="H218" s="459">
        <f>SUM(Taulukko9[[#This Row],[Uudistuksten mukainen osuus työmarkkinatuesta]:[Uudistuksen mukainen osuus ansiopäivärahasta]])</f>
        <v>274804.53627146099</v>
      </c>
      <c r="I218" s="467">
        <f>Taulukko9[[#This Row],[Uudistuksen mukainen rahoitusvastuu yhteensä]]-Taulukko9[[#This Row],[Nykytila, kuntien osuus työmarkkinatuesta]]</f>
        <v>108726.106271461</v>
      </c>
    </row>
    <row r="219" spans="1:9">
      <c r="A219" s="456">
        <v>683</v>
      </c>
      <c r="B219" s="456" t="s">
        <v>219</v>
      </c>
      <c r="C219" s="457">
        <v>3599</v>
      </c>
      <c r="D219" s="458">
        <v>150654.10999999999</v>
      </c>
      <c r="E219" s="458">
        <v>247366.90399999998</v>
      </c>
      <c r="F219" s="458">
        <v>10843.838</v>
      </c>
      <c r="G219" s="458">
        <v>65617.310645371705</v>
      </c>
      <c r="H219" s="459">
        <f>SUM(Taulukko9[[#This Row],[Uudistuksten mukainen osuus työmarkkinatuesta]:[Uudistuksen mukainen osuus ansiopäivärahasta]])</f>
        <v>323828.05264537164</v>
      </c>
      <c r="I219" s="467">
        <f>Taulukko9[[#This Row],[Uudistuksen mukainen rahoitusvastuu yhteensä]]-Taulukko9[[#This Row],[Nykytila, kuntien osuus työmarkkinatuesta]]</f>
        <v>173173.94264537166</v>
      </c>
    </row>
    <row r="220" spans="1:9">
      <c r="A220" s="456">
        <v>684</v>
      </c>
      <c r="B220" s="456" t="s">
        <v>220</v>
      </c>
      <c r="C220" s="457">
        <v>38832</v>
      </c>
      <c r="D220" s="458">
        <v>2323639.0299999998</v>
      </c>
      <c r="E220" s="458">
        <v>3369334.2524999999</v>
      </c>
      <c r="F220" s="458">
        <v>145398.848</v>
      </c>
      <c r="G220" s="458">
        <v>677891.23642478697</v>
      </c>
      <c r="H220" s="459">
        <f>SUM(Taulukko9[[#This Row],[Uudistuksten mukainen osuus työmarkkinatuesta]:[Uudistuksen mukainen osuus ansiopäivärahasta]])</f>
        <v>4192624.3369247867</v>
      </c>
      <c r="I220" s="467">
        <f>Taulukko9[[#This Row],[Uudistuksen mukainen rahoitusvastuu yhteensä]]-Taulukko9[[#This Row],[Nykytila, kuntien osuus työmarkkinatuesta]]</f>
        <v>1868985.3069247869</v>
      </c>
    </row>
    <row r="221" spans="1:9">
      <c r="A221" s="456">
        <v>686</v>
      </c>
      <c r="B221" s="456" t="s">
        <v>221</v>
      </c>
      <c r="C221" s="457">
        <v>2933</v>
      </c>
      <c r="D221" s="458">
        <v>99685.51</v>
      </c>
      <c r="E221" s="458">
        <v>119242.803</v>
      </c>
      <c r="F221" s="458">
        <v>9297.4030000000002</v>
      </c>
      <c r="G221" s="458">
        <v>49381.830261392097</v>
      </c>
      <c r="H221" s="459">
        <f>SUM(Taulukko9[[#This Row],[Uudistuksten mukainen osuus työmarkkinatuesta]:[Uudistuksen mukainen osuus ansiopäivärahasta]])</f>
        <v>177922.03626139212</v>
      </c>
      <c r="I221" s="467">
        <f>Taulukko9[[#This Row],[Uudistuksen mukainen rahoitusvastuu yhteensä]]-Taulukko9[[#This Row],[Nykytila, kuntien osuus työmarkkinatuesta]]</f>
        <v>78236.526261392122</v>
      </c>
    </row>
    <row r="222" spans="1:9">
      <c r="A222" s="456">
        <v>687</v>
      </c>
      <c r="B222" s="456" t="s">
        <v>222</v>
      </c>
      <c r="C222" s="457">
        <v>1424</v>
      </c>
      <c r="D222" s="458">
        <v>73330.259999999995</v>
      </c>
      <c r="E222" s="458">
        <v>134762.73300000001</v>
      </c>
      <c r="F222" s="458">
        <v>6204.7020000000002</v>
      </c>
      <c r="G222" s="458">
        <v>26991.318958858399</v>
      </c>
      <c r="H222" s="459">
        <f>SUM(Taulukko9[[#This Row],[Uudistuksten mukainen osuus työmarkkinatuesta]:[Uudistuksen mukainen osuus ansiopäivärahasta]])</f>
        <v>167958.7539588584</v>
      </c>
      <c r="I222" s="467">
        <f>Taulukko9[[#This Row],[Uudistuksen mukainen rahoitusvastuu yhteensä]]-Taulukko9[[#This Row],[Nykytila, kuntien osuus työmarkkinatuesta]]</f>
        <v>94628.493958858409</v>
      </c>
    </row>
    <row r="223" spans="1:9">
      <c r="A223" s="456">
        <v>689</v>
      </c>
      <c r="B223" s="456" t="s">
        <v>223</v>
      </c>
      <c r="C223" s="457">
        <v>3032</v>
      </c>
      <c r="D223" s="458">
        <v>255395.45</v>
      </c>
      <c r="E223" s="458">
        <v>332307.52399999998</v>
      </c>
      <c r="F223" s="458">
        <v>19980.566999999999</v>
      </c>
      <c r="G223" s="458">
        <v>88192.929988970602</v>
      </c>
      <c r="H223" s="459">
        <f>SUM(Taulukko9[[#This Row],[Uudistuksten mukainen osuus työmarkkinatuesta]:[Uudistuksen mukainen osuus ansiopäivärahasta]])</f>
        <v>440481.02098897053</v>
      </c>
      <c r="I223" s="467">
        <f>Taulukko9[[#This Row],[Uudistuksen mukainen rahoitusvastuu yhteensä]]-Taulukko9[[#This Row],[Nykytila, kuntien osuus työmarkkinatuesta]]</f>
        <v>185085.57098897052</v>
      </c>
    </row>
    <row r="224" spans="1:9">
      <c r="A224" s="456">
        <v>691</v>
      </c>
      <c r="B224" s="456" t="s">
        <v>224</v>
      </c>
      <c r="C224" s="457">
        <v>2598</v>
      </c>
      <c r="D224" s="458">
        <v>102428.02</v>
      </c>
      <c r="E224" s="458">
        <v>170026.00200000001</v>
      </c>
      <c r="F224" s="458">
        <v>4001.3029999999999</v>
      </c>
      <c r="G224" s="458">
        <v>20890.206500818</v>
      </c>
      <c r="H224" s="459">
        <f>SUM(Taulukko9[[#This Row],[Uudistuksten mukainen osuus työmarkkinatuesta]:[Uudistuksen mukainen osuus ansiopäivärahasta]])</f>
        <v>194917.51150081799</v>
      </c>
      <c r="I224" s="467">
        <f>Taulukko9[[#This Row],[Uudistuksen mukainen rahoitusvastuu yhteensä]]-Taulukko9[[#This Row],[Nykytila, kuntien osuus työmarkkinatuesta]]</f>
        <v>92489.491500817981</v>
      </c>
    </row>
    <row r="225" spans="1:9">
      <c r="A225" s="456">
        <v>694</v>
      </c>
      <c r="B225" s="456" t="s">
        <v>225</v>
      </c>
      <c r="C225" s="457">
        <v>28483</v>
      </c>
      <c r="D225" s="458">
        <v>1912407.11</v>
      </c>
      <c r="E225" s="458">
        <v>3251774.3569999998</v>
      </c>
      <c r="F225" s="458">
        <v>126184.992</v>
      </c>
      <c r="G225" s="458">
        <v>346565.88538347301</v>
      </c>
      <c r="H225" s="459">
        <f>SUM(Taulukko9[[#This Row],[Uudistuksten mukainen osuus työmarkkinatuesta]:[Uudistuksen mukainen osuus ansiopäivärahasta]])</f>
        <v>3724525.2343834732</v>
      </c>
      <c r="I225" s="467">
        <f>Taulukko9[[#This Row],[Uudistuksen mukainen rahoitusvastuu yhteensä]]-Taulukko9[[#This Row],[Nykytila, kuntien osuus työmarkkinatuesta]]</f>
        <v>1812118.1243834731</v>
      </c>
    </row>
    <row r="226" spans="1:9">
      <c r="A226" s="456">
        <v>697</v>
      </c>
      <c r="B226" s="456" t="s">
        <v>226</v>
      </c>
      <c r="C226" s="457">
        <v>1164</v>
      </c>
      <c r="D226" s="458">
        <v>89609.86</v>
      </c>
      <c r="E226" s="458">
        <v>97211.356499999994</v>
      </c>
      <c r="F226" s="458">
        <v>799.673</v>
      </c>
      <c r="G226" s="458">
        <v>22717.283418584298</v>
      </c>
      <c r="H226" s="459">
        <f>SUM(Taulukko9[[#This Row],[Uudistuksten mukainen osuus työmarkkinatuesta]:[Uudistuksen mukainen osuus ansiopäivärahasta]])</f>
        <v>120728.31291858428</v>
      </c>
      <c r="I226" s="467">
        <f>Taulukko9[[#This Row],[Uudistuksen mukainen rahoitusvastuu yhteensä]]-Taulukko9[[#This Row],[Nykytila, kuntien osuus työmarkkinatuesta]]</f>
        <v>31118.452918584284</v>
      </c>
    </row>
    <row r="227" spans="1:9">
      <c r="A227" s="456">
        <v>698</v>
      </c>
      <c r="B227" s="456" t="s">
        <v>227</v>
      </c>
      <c r="C227" s="457">
        <v>65286</v>
      </c>
      <c r="D227" s="458">
        <v>4587169.58</v>
      </c>
      <c r="E227" s="458">
        <v>5135103.6780000003</v>
      </c>
      <c r="F227" s="458">
        <v>244106.731</v>
      </c>
      <c r="G227" s="458">
        <v>1058192.09227489</v>
      </c>
      <c r="H227" s="459">
        <f>SUM(Taulukko9[[#This Row],[Uudistuksten mukainen osuus työmarkkinatuesta]:[Uudistuksen mukainen osuus ansiopäivärahasta]])</f>
        <v>6437402.5012748903</v>
      </c>
      <c r="I227" s="467">
        <f>Taulukko9[[#This Row],[Uudistuksen mukainen rahoitusvastuu yhteensä]]-Taulukko9[[#This Row],[Nykytila, kuntien osuus työmarkkinatuesta]]</f>
        <v>1850232.9212748902</v>
      </c>
    </row>
    <row r="228" spans="1:9">
      <c r="A228" s="456">
        <v>700</v>
      </c>
      <c r="B228" s="456" t="s">
        <v>228</v>
      </c>
      <c r="C228" s="457">
        <v>4758</v>
      </c>
      <c r="D228" s="458">
        <v>199065.37</v>
      </c>
      <c r="E228" s="458">
        <v>350014.13199999998</v>
      </c>
      <c r="F228" s="458">
        <v>15066.448</v>
      </c>
      <c r="G228" s="458">
        <v>80236.822264854098</v>
      </c>
      <c r="H228" s="459">
        <f>SUM(Taulukko9[[#This Row],[Uudistuksten mukainen osuus työmarkkinatuesta]:[Uudistuksen mukainen osuus ansiopäivärahasta]])</f>
        <v>445317.40226485406</v>
      </c>
      <c r="I228" s="467">
        <f>Taulukko9[[#This Row],[Uudistuksen mukainen rahoitusvastuu yhteensä]]-Taulukko9[[#This Row],[Nykytila, kuntien osuus työmarkkinatuesta]]</f>
        <v>246252.03226485406</v>
      </c>
    </row>
    <row r="229" spans="1:9">
      <c r="A229" s="456">
        <v>702</v>
      </c>
      <c r="B229" s="456" t="s">
        <v>229</v>
      </c>
      <c r="C229" s="457">
        <v>4124</v>
      </c>
      <c r="D229" s="458">
        <v>161960.89000000001</v>
      </c>
      <c r="E229" s="458">
        <v>315536.79399999999</v>
      </c>
      <c r="F229" s="458">
        <v>17764.606</v>
      </c>
      <c r="G229" s="458">
        <v>69732.580035013205</v>
      </c>
      <c r="H229" s="459">
        <f>SUM(Taulukko9[[#This Row],[Uudistuksten mukainen osuus työmarkkinatuesta]:[Uudistuksen mukainen osuus ansiopäivärahasta]])</f>
        <v>403033.98003501323</v>
      </c>
      <c r="I229" s="467">
        <f>Taulukko9[[#This Row],[Uudistuksen mukainen rahoitusvastuu yhteensä]]-Taulukko9[[#This Row],[Nykytila, kuntien osuus työmarkkinatuesta]]</f>
        <v>241073.09003501321</v>
      </c>
    </row>
    <row r="230" spans="1:9">
      <c r="A230" s="456">
        <v>704</v>
      </c>
      <c r="B230" s="456" t="s">
        <v>230</v>
      </c>
      <c r="C230" s="457">
        <v>6436</v>
      </c>
      <c r="D230" s="458">
        <v>139507</v>
      </c>
      <c r="E230" s="458">
        <v>168993.47</v>
      </c>
      <c r="F230" s="458">
        <v>21672.625</v>
      </c>
      <c r="G230" s="458">
        <v>53518.533654327097</v>
      </c>
      <c r="H230" s="459">
        <f>SUM(Taulukko9[[#This Row],[Uudistuksten mukainen osuus työmarkkinatuesta]:[Uudistuksen mukainen osuus ansiopäivärahasta]])</f>
        <v>244184.6286543271</v>
      </c>
      <c r="I230" s="467">
        <f>Taulukko9[[#This Row],[Uudistuksen mukainen rahoitusvastuu yhteensä]]-Taulukko9[[#This Row],[Nykytila, kuntien osuus työmarkkinatuesta]]</f>
        <v>104677.6286543271</v>
      </c>
    </row>
    <row r="231" spans="1:9">
      <c r="A231" s="456">
        <v>707</v>
      </c>
      <c r="B231" s="456" t="s">
        <v>231</v>
      </c>
      <c r="C231" s="457">
        <v>1902</v>
      </c>
      <c r="D231" s="458">
        <v>196332.7</v>
      </c>
      <c r="E231" s="458">
        <v>263207.47100000002</v>
      </c>
      <c r="F231" s="458">
        <v>9869.68</v>
      </c>
      <c r="G231" s="458">
        <v>44218.1820740279</v>
      </c>
      <c r="H231" s="459">
        <f>SUM(Taulukko9[[#This Row],[Uudistuksten mukainen osuus työmarkkinatuesta]:[Uudistuksen mukainen osuus ansiopäivärahasta]])</f>
        <v>317295.33307402791</v>
      </c>
      <c r="I231" s="467">
        <f>Taulukko9[[#This Row],[Uudistuksen mukainen rahoitusvastuu yhteensä]]-Taulukko9[[#This Row],[Nykytila, kuntien osuus työmarkkinatuesta]]</f>
        <v>120962.63307402789</v>
      </c>
    </row>
    <row r="232" spans="1:9">
      <c r="A232" s="456">
        <v>710</v>
      </c>
      <c r="B232" s="456" t="s">
        <v>232</v>
      </c>
      <c r="C232" s="457">
        <v>27209</v>
      </c>
      <c r="D232" s="458">
        <v>2601497.17</v>
      </c>
      <c r="E232" s="458">
        <v>2876581.5449999999</v>
      </c>
      <c r="F232" s="458">
        <v>109303.89</v>
      </c>
      <c r="G232" s="458">
        <v>269893.65765551198</v>
      </c>
      <c r="H232" s="459">
        <f>SUM(Taulukko9[[#This Row],[Uudistuksten mukainen osuus työmarkkinatuesta]:[Uudistuksen mukainen osuus ansiopäivärahasta]])</f>
        <v>3255779.092655512</v>
      </c>
      <c r="I232" s="467">
        <f>Taulukko9[[#This Row],[Uudistuksen mukainen rahoitusvastuu yhteensä]]-Taulukko9[[#This Row],[Nykytila, kuntien osuus työmarkkinatuesta]]</f>
        <v>654281.92265551211</v>
      </c>
    </row>
    <row r="233" spans="1:9">
      <c r="A233" s="456">
        <v>729</v>
      </c>
      <c r="B233" s="456" t="s">
        <v>233</v>
      </c>
      <c r="C233" s="457">
        <v>8847</v>
      </c>
      <c r="D233" s="458">
        <v>712515.18</v>
      </c>
      <c r="E233" s="458">
        <v>1017450.9180000001</v>
      </c>
      <c r="F233" s="458">
        <v>48348.366000000002</v>
      </c>
      <c r="G233" s="458">
        <v>216370.29342835199</v>
      </c>
      <c r="H233" s="459">
        <f>SUM(Taulukko9[[#This Row],[Uudistuksten mukainen osuus työmarkkinatuesta]:[Uudistuksen mukainen osuus ansiopäivärahasta]])</f>
        <v>1282169.5774283521</v>
      </c>
      <c r="I233" s="467">
        <f>Taulukko9[[#This Row],[Uudistuksen mukainen rahoitusvastuu yhteensä]]-Taulukko9[[#This Row],[Nykytila, kuntien osuus työmarkkinatuesta]]</f>
        <v>569654.39742835204</v>
      </c>
    </row>
    <row r="234" spans="1:9">
      <c r="A234" s="456">
        <v>732</v>
      </c>
      <c r="B234" s="456" t="s">
        <v>234</v>
      </c>
      <c r="C234" s="457">
        <v>3344</v>
      </c>
      <c r="D234" s="458">
        <v>225040.7</v>
      </c>
      <c r="E234" s="458">
        <v>273358.96250000002</v>
      </c>
      <c r="F234" s="458">
        <v>11424.947</v>
      </c>
      <c r="G234" s="458">
        <v>102115.64436017899</v>
      </c>
      <c r="H234" s="459">
        <f>SUM(Taulukko9[[#This Row],[Uudistuksten mukainen osuus työmarkkinatuesta]:[Uudistuksen mukainen osuus ansiopäivärahasta]])</f>
        <v>386899.55386017903</v>
      </c>
      <c r="I234" s="467">
        <f>Taulukko9[[#This Row],[Uudistuksen mukainen rahoitusvastuu yhteensä]]-Taulukko9[[#This Row],[Nykytila, kuntien osuus työmarkkinatuesta]]</f>
        <v>161858.85386017902</v>
      </c>
    </row>
    <row r="235" spans="1:9">
      <c r="A235" s="456">
        <v>734</v>
      </c>
      <c r="B235" s="456" t="s">
        <v>235</v>
      </c>
      <c r="C235" s="457">
        <v>51100</v>
      </c>
      <c r="D235" s="458">
        <v>3026720.92</v>
      </c>
      <c r="E235" s="458">
        <v>4495866.9205</v>
      </c>
      <c r="F235" s="458">
        <v>198404.359</v>
      </c>
      <c r="G235" s="458">
        <v>824804.68099308899</v>
      </c>
      <c r="H235" s="459">
        <f>SUM(Taulukko9[[#This Row],[Uudistuksten mukainen osuus työmarkkinatuesta]:[Uudistuksen mukainen osuus ansiopäivärahasta]])</f>
        <v>5519075.9604930896</v>
      </c>
      <c r="I235" s="467">
        <f>Taulukko9[[#This Row],[Uudistuksen mukainen rahoitusvastuu yhteensä]]-Taulukko9[[#This Row],[Nykytila, kuntien osuus työmarkkinatuesta]]</f>
        <v>2492355.0404930897</v>
      </c>
    </row>
    <row r="236" spans="1:9">
      <c r="A236" s="456">
        <v>738</v>
      </c>
      <c r="B236" s="456" t="s">
        <v>236</v>
      </c>
      <c r="C236" s="457">
        <v>2974</v>
      </c>
      <c r="D236" s="458">
        <v>17545.419999999998</v>
      </c>
      <c r="E236" s="458">
        <v>108051.823</v>
      </c>
      <c r="F236" s="458">
        <v>4680.4830000000002</v>
      </c>
      <c r="G236" s="458">
        <v>26818.5729675531</v>
      </c>
      <c r="H236" s="459">
        <f>SUM(Taulukko9[[#This Row],[Uudistuksten mukainen osuus työmarkkinatuesta]:[Uudistuksen mukainen osuus ansiopäivärahasta]])</f>
        <v>139550.87896755312</v>
      </c>
      <c r="I236" s="467">
        <f>Taulukko9[[#This Row],[Uudistuksen mukainen rahoitusvastuu yhteensä]]-Taulukko9[[#This Row],[Nykytila, kuntien osuus työmarkkinatuesta]]</f>
        <v>122005.45896755312</v>
      </c>
    </row>
    <row r="237" spans="1:9">
      <c r="A237" s="456">
        <v>739</v>
      </c>
      <c r="B237" s="456" t="s">
        <v>237</v>
      </c>
      <c r="C237" s="457">
        <v>3216</v>
      </c>
      <c r="D237" s="458">
        <v>132752.01999999999</v>
      </c>
      <c r="E237" s="458">
        <v>160958.89000000001</v>
      </c>
      <c r="F237" s="458">
        <v>15811.403</v>
      </c>
      <c r="G237" s="458">
        <v>65483.514046974102</v>
      </c>
      <c r="H237" s="459">
        <f>SUM(Taulukko9[[#This Row],[Uudistuksten mukainen osuus työmarkkinatuesta]:[Uudistuksen mukainen osuus ansiopäivärahasta]])</f>
        <v>242253.80704697411</v>
      </c>
      <c r="I237" s="467">
        <f>Taulukko9[[#This Row],[Uudistuksen mukainen rahoitusvastuu yhteensä]]-Taulukko9[[#This Row],[Nykytila, kuntien osuus työmarkkinatuesta]]</f>
        <v>109501.78704697412</v>
      </c>
    </row>
    <row r="238" spans="1:9">
      <c r="A238" s="456">
        <v>740</v>
      </c>
      <c r="B238" s="456" t="s">
        <v>238</v>
      </c>
      <c r="C238" s="457">
        <v>31843</v>
      </c>
      <c r="D238" s="458">
        <v>2432244.34</v>
      </c>
      <c r="E238" s="458">
        <v>3396470.3135000002</v>
      </c>
      <c r="F238" s="458">
        <v>166374.497</v>
      </c>
      <c r="G238" s="458">
        <v>585685.56381125899</v>
      </c>
      <c r="H238" s="459">
        <f>SUM(Taulukko9[[#This Row],[Uudistuksten mukainen osuus työmarkkinatuesta]:[Uudistuksen mukainen osuus ansiopäivärahasta]])</f>
        <v>4148530.374311259</v>
      </c>
      <c r="I238" s="467">
        <f>Taulukko9[[#This Row],[Uudistuksen mukainen rahoitusvastuu yhteensä]]-Taulukko9[[#This Row],[Nykytila, kuntien osuus työmarkkinatuesta]]</f>
        <v>1716286.0343112592</v>
      </c>
    </row>
    <row r="239" spans="1:9">
      <c r="A239" s="456">
        <v>742</v>
      </c>
      <c r="B239" s="456" t="s">
        <v>239</v>
      </c>
      <c r="C239" s="457">
        <v>978</v>
      </c>
      <c r="D239" s="458">
        <v>68627.23</v>
      </c>
      <c r="E239" s="458">
        <v>96808.051500000001</v>
      </c>
      <c r="F239" s="458">
        <v>5046.3890000000001</v>
      </c>
      <c r="G239" s="458">
        <v>35793.115918453797</v>
      </c>
      <c r="H239" s="459">
        <f>SUM(Taulukko9[[#This Row],[Uudistuksten mukainen osuus työmarkkinatuesta]:[Uudistuksen mukainen osuus ansiopäivärahasta]])</f>
        <v>137647.55641845381</v>
      </c>
      <c r="I239" s="467">
        <f>Taulukko9[[#This Row],[Uudistuksen mukainen rahoitusvastuu yhteensä]]-Taulukko9[[#This Row],[Nykytila, kuntien osuus työmarkkinatuesta]]</f>
        <v>69020.326418453813</v>
      </c>
    </row>
    <row r="240" spans="1:9">
      <c r="A240" s="456">
        <v>743</v>
      </c>
      <c r="B240" s="456" t="s">
        <v>240</v>
      </c>
      <c r="C240" s="457">
        <v>66160</v>
      </c>
      <c r="D240" s="458">
        <v>4195908.3899999997</v>
      </c>
      <c r="E240" s="458">
        <v>5482494.9745000005</v>
      </c>
      <c r="F240" s="458">
        <v>244545.19</v>
      </c>
      <c r="G240" s="458">
        <v>817210.07516727201</v>
      </c>
      <c r="H240" s="459">
        <f>SUM(Taulukko9[[#This Row],[Uudistuksten mukainen osuus työmarkkinatuesta]:[Uudistuksen mukainen osuus ansiopäivärahasta]])</f>
        <v>6544250.2396672731</v>
      </c>
      <c r="I240" s="467">
        <f>Taulukko9[[#This Row],[Uudistuksen mukainen rahoitusvastuu yhteensä]]-Taulukko9[[#This Row],[Nykytila, kuntien osuus työmarkkinatuesta]]</f>
        <v>2348341.8496672735</v>
      </c>
    </row>
    <row r="241" spans="1:9">
      <c r="A241" s="456">
        <v>746</v>
      </c>
      <c r="B241" s="456" t="s">
        <v>241</v>
      </c>
      <c r="C241" s="457">
        <v>4713</v>
      </c>
      <c r="D241" s="458">
        <v>188558.14</v>
      </c>
      <c r="E241" s="458">
        <v>215881.94199999998</v>
      </c>
      <c r="F241" s="458">
        <v>12121.781000000001</v>
      </c>
      <c r="G241" s="458">
        <v>77596.816766149801</v>
      </c>
      <c r="H241" s="459">
        <f>SUM(Taulukko9[[#This Row],[Uudistuksten mukainen osuus työmarkkinatuesta]:[Uudistuksen mukainen osuus ansiopäivärahasta]])</f>
        <v>305600.53976614977</v>
      </c>
      <c r="I241" s="467">
        <f>Taulukko9[[#This Row],[Uudistuksen mukainen rahoitusvastuu yhteensä]]-Taulukko9[[#This Row],[Nykytila, kuntien osuus työmarkkinatuesta]]</f>
        <v>117042.39976614976</v>
      </c>
    </row>
    <row r="242" spans="1:9">
      <c r="A242" s="456">
        <v>747</v>
      </c>
      <c r="B242" s="456" t="s">
        <v>242</v>
      </c>
      <c r="C242" s="457">
        <v>1283</v>
      </c>
      <c r="D242" s="458">
        <v>68403.570000000007</v>
      </c>
      <c r="E242" s="458">
        <v>154098.88500000001</v>
      </c>
      <c r="F242" s="458">
        <v>9281.1730000000007</v>
      </c>
      <c r="G242" s="458">
        <v>22241.360905241901</v>
      </c>
      <c r="H242" s="459">
        <f>SUM(Taulukko9[[#This Row],[Uudistuksten mukainen osuus työmarkkinatuesta]:[Uudistuksen mukainen osuus ansiopäivärahasta]])</f>
        <v>185621.41890524191</v>
      </c>
      <c r="I242" s="467">
        <f>Taulukko9[[#This Row],[Uudistuksen mukainen rahoitusvastuu yhteensä]]-Taulukko9[[#This Row],[Nykytila, kuntien osuus työmarkkinatuesta]]</f>
        <v>117217.8489052419</v>
      </c>
    </row>
    <row r="243" spans="1:9">
      <c r="A243" s="456">
        <v>748</v>
      </c>
      <c r="B243" s="456" t="s">
        <v>243</v>
      </c>
      <c r="C243" s="457">
        <v>4837</v>
      </c>
      <c r="D243" s="458">
        <v>286183.51</v>
      </c>
      <c r="E243" s="458">
        <v>358641.75800000003</v>
      </c>
      <c r="F243" s="458">
        <v>9605.6939999999995</v>
      </c>
      <c r="G243" s="458">
        <v>46046.152489198103</v>
      </c>
      <c r="H243" s="459">
        <f>SUM(Taulukko9[[#This Row],[Uudistuksten mukainen osuus työmarkkinatuesta]:[Uudistuksen mukainen osuus ansiopäivärahasta]])</f>
        <v>414293.60448919813</v>
      </c>
      <c r="I243" s="467">
        <f>Taulukko9[[#This Row],[Uudistuksen mukainen rahoitusvastuu yhteensä]]-Taulukko9[[#This Row],[Nykytila, kuntien osuus työmarkkinatuesta]]</f>
        <v>128110.09448919812</v>
      </c>
    </row>
    <row r="244" spans="1:9">
      <c r="A244" s="456">
        <v>749</v>
      </c>
      <c r="B244" s="456" t="s">
        <v>244</v>
      </c>
      <c r="C244" s="457">
        <v>21290</v>
      </c>
      <c r="D244" s="458">
        <v>1161634.6000000001</v>
      </c>
      <c r="E244" s="458">
        <v>1309203.9589999998</v>
      </c>
      <c r="F244" s="458">
        <v>70169.721999999994</v>
      </c>
      <c r="G244" s="458">
        <v>231584.963346907</v>
      </c>
      <c r="H244" s="459">
        <f>SUM(Taulukko9[[#This Row],[Uudistuksten mukainen osuus työmarkkinatuesta]:[Uudistuksen mukainen osuus ansiopäivärahasta]])</f>
        <v>1610958.6443469068</v>
      </c>
      <c r="I244" s="467">
        <f>Taulukko9[[#This Row],[Uudistuksen mukainen rahoitusvastuu yhteensä]]-Taulukko9[[#This Row],[Nykytila, kuntien osuus työmarkkinatuesta]]</f>
        <v>449324.04434690671</v>
      </c>
    </row>
    <row r="245" spans="1:9">
      <c r="A245" s="456">
        <v>751</v>
      </c>
      <c r="B245" s="456" t="s">
        <v>245</v>
      </c>
      <c r="C245" s="457">
        <v>2828</v>
      </c>
      <c r="D245" s="458">
        <v>89150.68</v>
      </c>
      <c r="E245" s="458">
        <v>152175.08100000001</v>
      </c>
      <c r="F245" s="458">
        <v>8324.1029999999992</v>
      </c>
      <c r="G245" s="458">
        <v>82901.120399207604</v>
      </c>
      <c r="H245" s="459">
        <f>SUM(Taulukko9[[#This Row],[Uudistuksten mukainen osuus työmarkkinatuesta]:[Uudistuksen mukainen osuus ansiopäivärahasta]])</f>
        <v>243400.30439920761</v>
      </c>
      <c r="I245" s="467">
        <f>Taulukko9[[#This Row],[Uudistuksen mukainen rahoitusvastuu yhteensä]]-Taulukko9[[#This Row],[Nykytila, kuntien osuus työmarkkinatuesta]]</f>
        <v>154249.62439920762</v>
      </c>
    </row>
    <row r="246" spans="1:9">
      <c r="A246" s="456">
        <v>753</v>
      </c>
      <c r="B246" s="456" t="s">
        <v>246</v>
      </c>
      <c r="C246" s="457">
        <v>22595</v>
      </c>
      <c r="D246" s="458">
        <v>1311590.04</v>
      </c>
      <c r="E246" s="458">
        <v>1364355.3425</v>
      </c>
      <c r="F246" s="458">
        <v>76597.75</v>
      </c>
      <c r="G246" s="458">
        <v>212202.90820901</v>
      </c>
      <c r="H246" s="459">
        <f>SUM(Taulukko9[[#This Row],[Uudistuksten mukainen osuus työmarkkinatuesta]:[Uudistuksen mukainen osuus ansiopäivärahasta]])</f>
        <v>1653156.0007090101</v>
      </c>
      <c r="I246" s="467">
        <f>Taulukko9[[#This Row],[Uudistuksen mukainen rahoitusvastuu yhteensä]]-Taulukko9[[#This Row],[Nykytila, kuntien osuus työmarkkinatuesta]]</f>
        <v>341565.96070901002</v>
      </c>
    </row>
    <row r="247" spans="1:9">
      <c r="A247" s="456">
        <v>755</v>
      </c>
      <c r="B247" s="456" t="s">
        <v>247</v>
      </c>
      <c r="C247" s="457">
        <v>6158</v>
      </c>
      <c r="D247" s="458">
        <v>359678.18</v>
      </c>
      <c r="E247" s="458">
        <v>384927.65600000002</v>
      </c>
      <c r="F247" s="458">
        <v>13287.593000000001</v>
      </c>
      <c r="G247" s="458">
        <v>55458.4138767603</v>
      </c>
      <c r="H247" s="459">
        <f>SUM(Taulukko9[[#This Row],[Uudistuksten mukainen osuus työmarkkinatuesta]:[Uudistuksen mukainen osuus ansiopäivärahasta]])</f>
        <v>453673.6628767603</v>
      </c>
      <c r="I247" s="467">
        <f>Taulukko9[[#This Row],[Uudistuksen mukainen rahoitusvastuu yhteensä]]-Taulukko9[[#This Row],[Nykytila, kuntien osuus työmarkkinatuesta]]</f>
        <v>93995.482876760303</v>
      </c>
    </row>
    <row r="248" spans="1:9">
      <c r="A248" s="456">
        <v>758</v>
      </c>
      <c r="B248" s="456" t="s">
        <v>248</v>
      </c>
      <c r="C248" s="457">
        <v>8126</v>
      </c>
      <c r="D248" s="458">
        <v>303061.33</v>
      </c>
      <c r="E248" s="458">
        <v>448389.00549999997</v>
      </c>
      <c r="F248" s="458">
        <v>19621.394</v>
      </c>
      <c r="G248" s="458">
        <v>123272.786887412</v>
      </c>
      <c r="H248" s="459">
        <f>SUM(Taulukko9[[#This Row],[Uudistuksten mukainen osuus työmarkkinatuesta]:[Uudistuksen mukainen osuus ansiopäivärahasta]])</f>
        <v>591283.1863874119</v>
      </c>
      <c r="I248" s="467">
        <f>Taulukko9[[#This Row],[Uudistuksen mukainen rahoitusvastuu yhteensä]]-Taulukko9[[#This Row],[Nykytila, kuntien osuus työmarkkinatuesta]]</f>
        <v>288221.85638741188</v>
      </c>
    </row>
    <row r="249" spans="1:9">
      <c r="A249" s="456">
        <v>759</v>
      </c>
      <c r="B249" s="456" t="s">
        <v>249</v>
      </c>
      <c r="C249" s="457">
        <v>1873</v>
      </c>
      <c r="D249" s="458">
        <v>13615.99</v>
      </c>
      <c r="E249" s="458">
        <v>99990.18299999999</v>
      </c>
      <c r="F249" s="458">
        <v>5548.3519999999999</v>
      </c>
      <c r="G249" s="458">
        <v>12999.731285525901</v>
      </c>
      <c r="H249" s="459">
        <f>SUM(Taulukko9[[#This Row],[Uudistuksten mukainen osuus työmarkkinatuesta]:[Uudistuksen mukainen osuus ansiopäivärahasta]])</f>
        <v>118538.2662855259</v>
      </c>
      <c r="I249" s="467">
        <f>Taulukko9[[#This Row],[Uudistuksen mukainen rahoitusvastuu yhteensä]]-Taulukko9[[#This Row],[Nykytila, kuntien osuus työmarkkinatuesta]]</f>
        <v>104922.27628552589</v>
      </c>
    </row>
    <row r="250" spans="1:9">
      <c r="A250" s="456">
        <v>761</v>
      </c>
      <c r="B250" s="456" t="s">
        <v>250</v>
      </c>
      <c r="C250" s="457">
        <v>8410</v>
      </c>
      <c r="D250" s="458">
        <v>319110.90999999997</v>
      </c>
      <c r="E250" s="458">
        <v>537739.70299999998</v>
      </c>
      <c r="F250" s="458">
        <v>24815.001</v>
      </c>
      <c r="G250" s="458">
        <v>95342.970330606302</v>
      </c>
      <c r="H250" s="459">
        <f>SUM(Taulukko9[[#This Row],[Uudistuksten mukainen osuus työmarkkinatuesta]:[Uudistuksen mukainen osuus ansiopäivärahasta]])</f>
        <v>657897.67433060636</v>
      </c>
      <c r="I250" s="467">
        <f>Taulukko9[[#This Row],[Uudistuksen mukainen rahoitusvastuu yhteensä]]-Taulukko9[[#This Row],[Nykytila, kuntien osuus työmarkkinatuesta]]</f>
        <v>338786.76433060638</v>
      </c>
    </row>
    <row r="251" spans="1:9">
      <c r="A251" s="456">
        <v>762</v>
      </c>
      <c r="B251" s="456" t="s">
        <v>251</v>
      </c>
      <c r="C251" s="457">
        <v>3637</v>
      </c>
      <c r="D251" s="458">
        <v>113209.5</v>
      </c>
      <c r="E251" s="458">
        <v>233292.114</v>
      </c>
      <c r="F251" s="458">
        <v>19857.969000000001</v>
      </c>
      <c r="G251" s="458">
        <v>77201.660713409699</v>
      </c>
      <c r="H251" s="459">
        <f>SUM(Taulukko9[[#This Row],[Uudistuksten mukainen osuus työmarkkinatuesta]:[Uudistuksen mukainen osuus ansiopäivärahasta]])</f>
        <v>330351.7437134097</v>
      </c>
      <c r="I251" s="467">
        <f>Taulukko9[[#This Row],[Uudistuksen mukainen rahoitusvastuu yhteensä]]-Taulukko9[[#This Row],[Nykytila, kuntien osuus työmarkkinatuesta]]</f>
        <v>217142.2437134097</v>
      </c>
    </row>
    <row r="252" spans="1:9">
      <c r="A252" s="456">
        <v>765</v>
      </c>
      <c r="B252" s="456" t="s">
        <v>252</v>
      </c>
      <c r="C252" s="457">
        <v>10274</v>
      </c>
      <c r="D252" s="458">
        <v>190866.64</v>
      </c>
      <c r="E252" s="458">
        <v>358198.511</v>
      </c>
      <c r="F252" s="458">
        <v>20363.317999999999</v>
      </c>
      <c r="G252" s="458">
        <v>153032.44610704499</v>
      </c>
      <c r="H252" s="459">
        <f>SUM(Taulukko9[[#This Row],[Uudistuksten mukainen osuus työmarkkinatuesta]:[Uudistuksen mukainen osuus ansiopäivärahasta]])</f>
        <v>531594.27510704496</v>
      </c>
      <c r="I252" s="467">
        <f>Taulukko9[[#This Row],[Uudistuksen mukainen rahoitusvastuu yhteensä]]-Taulukko9[[#This Row],[Nykytila, kuntien osuus työmarkkinatuesta]]</f>
        <v>340727.63510704495</v>
      </c>
    </row>
    <row r="253" spans="1:9">
      <c r="A253" s="456">
        <v>768</v>
      </c>
      <c r="B253" s="456" t="s">
        <v>253</v>
      </c>
      <c r="C253" s="457">
        <v>2368</v>
      </c>
      <c r="D253" s="458">
        <v>104979.28</v>
      </c>
      <c r="E253" s="458">
        <v>156821.07449999999</v>
      </c>
      <c r="F253" s="458">
        <v>8653.8410000000003</v>
      </c>
      <c r="G253" s="458">
        <v>24544.129111373401</v>
      </c>
      <c r="H253" s="459">
        <f>SUM(Taulukko9[[#This Row],[Uudistuksten mukainen osuus työmarkkinatuesta]:[Uudistuksen mukainen osuus ansiopäivärahasta]])</f>
        <v>190019.04461137339</v>
      </c>
      <c r="I253" s="467">
        <f>Taulukko9[[#This Row],[Uudistuksen mukainen rahoitusvastuu yhteensä]]-Taulukko9[[#This Row],[Nykytila, kuntien osuus työmarkkinatuesta]]</f>
        <v>85039.764611373394</v>
      </c>
    </row>
    <row r="254" spans="1:9">
      <c r="A254" s="456">
        <v>777</v>
      </c>
      <c r="B254" s="456" t="s">
        <v>254</v>
      </c>
      <c r="C254" s="457">
        <v>7172</v>
      </c>
      <c r="D254" s="458">
        <v>304246.53999999998</v>
      </c>
      <c r="E254" s="458">
        <v>430586.84750000003</v>
      </c>
      <c r="F254" s="458">
        <v>15799.798000000001</v>
      </c>
      <c r="G254" s="458">
        <v>194751.580417747</v>
      </c>
      <c r="H254" s="459">
        <f>SUM(Taulukko9[[#This Row],[Uudistuksten mukainen osuus työmarkkinatuesta]:[Uudistuksen mukainen osuus ansiopäivärahasta]])</f>
        <v>641138.22591774701</v>
      </c>
      <c r="I254" s="467">
        <f>Taulukko9[[#This Row],[Uudistuksen mukainen rahoitusvastuu yhteensä]]-Taulukko9[[#This Row],[Nykytila, kuntien osuus työmarkkinatuesta]]</f>
        <v>336891.68591774703</v>
      </c>
    </row>
    <row r="255" spans="1:9">
      <c r="A255" s="456">
        <v>778</v>
      </c>
      <c r="B255" s="456" t="s">
        <v>255</v>
      </c>
      <c r="C255" s="457">
        <v>6708</v>
      </c>
      <c r="D255" s="458">
        <v>272761.74</v>
      </c>
      <c r="E255" s="458">
        <v>406704.6545</v>
      </c>
      <c r="F255" s="458">
        <v>28983.098999999998</v>
      </c>
      <c r="G255" s="458">
        <v>91971.7889174171</v>
      </c>
      <c r="H255" s="459">
        <f>SUM(Taulukko9[[#This Row],[Uudistuksten mukainen osuus työmarkkinatuesta]:[Uudistuksen mukainen osuus ansiopäivärahasta]])</f>
        <v>527659.54241741705</v>
      </c>
      <c r="I255" s="467">
        <f>Taulukko9[[#This Row],[Uudistuksen mukainen rahoitusvastuu yhteensä]]-Taulukko9[[#This Row],[Nykytila, kuntien osuus työmarkkinatuesta]]</f>
        <v>254897.80241741706</v>
      </c>
    </row>
    <row r="256" spans="1:9">
      <c r="A256" s="456">
        <v>781</v>
      </c>
      <c r="B256" s="456" t="s">
        <v>256</v>
      </c>
      <c r="C256" s="457">
        <v>3496</v>
      </c>
      <c r="D256" s="458">
        <v>140761.49</v>
      </c>
      <c r="E256" s="458">
        <v>227780.899</v>
      </c>
      <c r="F256" s="458">
        <v>6977.7280000000001</v>
      </c>
      <c r="G256" s="458">
        <v>54228.638236091399</v>
      </c>
      <c r="H256" s="459">
        <f>SUM(Taulukko9[[#This Row],[Uudistuksten mukainen osuus työmarkkinatuesta]:[Uudistuksen mukainen osuus ansiopäivärahasta]])</f>
        <v>288987.26523609139</v>
      </c>
      <c r="I256" s="467">
        <f>Taulukko9[[#This Row],[Uudistuksen mukainen rahoitusvastuu yhteensä]]-Taulukko9[[#This Row],[Nykytila, kuntien osuus työmarkkinatuesta]]</f>
        <v>148225.7752360914</v>
      </c>
    </row>
    <row r="257" spans="1:9">
      <c r="A257" s="456">
        <v>783</v>
      </c>
      <c r="B257" s="456" t="s">
        <v>257</v>
      </c>
      <c r="C257" s="457">
        <v>6377</v>
      </c>
      <c r="D257" s="458">
        <v>265630</v>
      </c>
      <c r="E257" s="458">
        <v>417400.36050000001</v>
      </c>
      <c r="F257" s="458">
        <v>16918.843000000001</v>
      </c>
      <c r="G257" s="458">
        <v>74550.566356619296</v>
      </c>
      <c r="H257" s="459">
        <f>SUM(Taulukko9[[#This Row],[Uudistuksten mukainen osuus työmarkkinatuesta]:[Uudistuksen mukainen osuus ansiopäivärahasta]])</f>
        <v>508869.7698566193</v>
      </c>
      <c r="I257" s="467">
        <f>Taulukko9[[#This Row],[Uudistuksen mukainen rahoitusvastuu yhteensä]]-Taulukko9[[#This Row],[Nykytila, kuntien osuus työmarkkinatuesta]]</f>
        <v>243239.7698566193</v>
      </c>
    </row>
    <row r="258" spans="1:9">
      <c r="A258" s="456">
        <v>785</v>
      </c>
      <c r="B258" s="456" t="s">
        <v>258</v>
      </c>
      <c r="C258" s="457">
        <v>2589</v>
      </c>
      <c r="D258" s="458">
        <v>70672.14</v>
      </c>
      <c r="E258" s="458">
        <v>147477.717</v>
      </c>
      <c r="F258" s="458">
        <v>7348.7479999999996</v>
      </c>
      <c r="G258" s="458">
        <v>82204.513770641803</v>
      </c>
      <c r="H258" s="459">
        <f>SUM(Taulukko9[[#This Row],[Uudistuksten mukainen osuus työmarkkinatuesta]:[Uudistuksen mukainen osuus ansiopäivärahasta]])</f>
        <v>237030.97877064178</v>
      </c>
      <c r="I258" s="467">
        <f>Taulukko9[[#This Row],[Uudistuksen mukainen rahoitusvastuu yhteensä]]-Taulukko9[[#This Row],[Nykytila, kuntien osuus työmarkkinatuesta]]</f>
        <v>166358.83877064177</v>
      </c>
    </row>
    <row r="259" spans="1:9">
      <c r="A259" s="456">
        <v>790</v>
      </c>
      <c r="B259" s="456" t="s">
        <v>259</v>
      </c>
      <c r="C259" s="457">
        <v>23515</v>
      </c>
      <c r="D259" s="458">
        <v>609948.56999999995</v>
      </c>
      <c r="E259" s="458">
        <v>1476068.4964999999</v>
      </c>
      <c r="F259" s="458">
        <v>69760.673999999999</v>
      </c>
      <c r="G259" s="458">
        <v>312252.97089158703</v>
      </c>
      <c r="H259" s="459">
        <f>SUM(Taulukko9[[#This Row],[Uudistuksten mukainen osuus työmarkkinatuesta]:[Uudistuksen mukainen osuus ansiopäivärahasta]])</f>
        <v>1858082.141391587</v>
      </c>
      <c r="I259" s="467">
        <f>Taulukko9[[#This Row],[Uudistuksen mukainen rahoitusvastuu yhteensä]]-Taulukko9[[#This Row],[Nykytila, kuntien osuus työmarkkinatuesta]]</f>
        <v>1248133.5713915871</v>
      </c>
    </row>
    <row r="260" spans="1:9">
      <c r="A260" s="456">
        <v>791</v>
      </c>
      <c r="B260" s="456" t="s">
        <v>260</v>
      </c>
      <c r="C260" s="457">
        <v>4931</v>
      </c>
      <c r="D260" s="458">
        <v>242779.95</v>
      </c>
      <c r="E260" s="458">
        <v>338948.03099999996</v>
      </c>
      <c r="F260" s="458">
        <v>16977.576000000001</v>
      </c>
      <c r="G260" s="458">
        <v>81334.684227318605</v>
      </c>
      <c r="H260" s="459">
        <f>SUM(Taulukko9[[#This Row],[Uudistuksten mukainen osuus työmarkkinatuesta]:[Uudistuksen mukainen osuus ansiopäivärahasta]])</f>
        <v>437260.29122731858</v>
      </c>
      <c r="I260" s="467">
        <f>Taulukko9[[#This Row],[Uudistuksen mukainen rahoitusvastuu yhteensä]]-Taulukko9[[#This Row],[Nykytila, kuntien osuus työmarkkinatuesta]]</f>
        <v>194480.34122731857</v>
      </c>
    </row>
    <row r="261" spans="1:9">
      <c r="A261" s="456">
        <v>831</v>
      </c>
      <c r="B261" s="456" t="s">
        <v>261</v>
      </c>
      <c r="C261" s="457">
        <v>4625</v>
      </c>
      <c r="D261" s="458">
        <v>199614.83</v>
      </c>
      <c r="E261" s="458">
        <v>281372.06149999995</v>
      </c>
      <c r="F261" s="458">
        <v>18835.741999999998</v>
      </c>
      <c r="G261" s="458">
        <v>83538.729028935501</v>
      </c>
      <c r="H261" s="459">
        <f>SUM(Taulukko9[[#This Row],[Uudistuksten mukainen osuus työmarkkinatuesta]:[Uudistuksen mukainen osuus ansiopäivärahasta]])</f>
        <v>383746.53252893541</v>
      </c>
      <c r="I261" s="467">
        <f>Taulukko9[[#This Row],[Uudistuksen mukainen rahoitusvastuu yhteensä]]-Taulukko9[[#This Row],[Nykytila, kuntien osuus työmarkkinatuesta]]</f>
        <v>184131.70252893542</v>
      </c>
    </row>
    <row r="262" spans="1:9">
      <c r="A262" s="456">
        <v>832</v>
      </c>
      <c r="B262" s="456" t="s">
        <v>262</v>
      </c>
      <c r="C262" s="457">
        <v>3731</v>
      </c>
      <c r="D262" s="458">
        <v>137950.37</v>
      </c>
      <c r="E262" s="458">
        <v>238704.364</v>
      </c>
      <c r="F262" s="458">
        <v>14411.593000000001</v>
      </c>
      <c r="G262" s="458">
        <v>112492.531256506</v>
      </c>
      <c r="H262" s="459">
        <f>SUM(Taulukko9[[#This Row],[Uudistuksten mukainen osuus työmarkkinatuesta]:[Uudistuksen mukainen osuus ansiopäivärahasta]])</f>
        <v>365608.48825650598</v>
      </c>
      <c r="I262" s="467">
        <f>Taulukko9[[#This Row],[Uudistuksen mukainen rahoitusvastuu yhteensä]]-Taulukko9[[#This Row],[Nykytila, kuntien osuus työmarkkinatuesta]]</f>
        <v>227658.11825650599</v>
      </c>
    </row>
    <row r="263" spans="1:9">
      <c r="A263" s="456">
        <v>833</v>
      </c>
      <c r="B263" s="456" t="s">
        <v>263</v>
      </c>
      <c r="C263" s="457">
        <v>1705</v>
      </c>
      <c r="D263" s="458">
        <v>67980.14</v>
      </c>
      <c r="E263" s="458">
        <v>80872.202000000005</v>
      </c>
      <c r="F263" s="458">
        <v>9283.3289999999997</v>
      </c>
      <c r="G263" s="458">
        <v>22432.768186095102</v>
      </c>
      <c r="H263" s="459">
        <f>SUM(Taulukko9[[#This Row],[Uudistuksten mukainen osuus työmarkkinatuesta]:[Uudistuksen mukainen osuus ansiopäivärahasta]])</f>
        <v>112588.2991860951</v>
      </c>
      <c r="I263" s="467">
        <f>Taulukko9[[#This Row],[Uudistuksen mukainen rahoitusvastuu yhteensä]]-Taulukko9[[#This Row],[Nykytila, kuntien osuus työmarkkinatuesta]]</f>
        <v>44608.159186095101</v>
      </c>
    </row>
    <row r="264" spans="1:9">
      <c r="A264" s="456">
        <v>834</v>
      </c>
      <c r="B264" s="456" t="s">
        <v>264</v>
      </c>
      <c r="C264" s="457">
        <v>5844</v>
      </c>
      <c r="D264" s="458">
        <v>212544.49</v>
      </c>
      <c r="E264" s="458">
        <v>315567.76449999999</v>
      </c>
      <c r="F264" s="458">
        <v>17148.842000000001</v>
      </c>
      <c r="G264" s="458">
        <v>57664.033015060602</v>
      </c>
      <c r="H264" s="459">
        <f>SUM(Taulukko9[[#This Row],[Uudistuksten mukainen osuus työmarkkinatuesta]:[Uudistuksen mukainen osuus ansiopäivärahasta]])</f>
        <v>390380.63951506058</v>
      </c>
      <c r="I264" s="467">
        <f>Taulukko9[[#This Row],[Uudistuksen mukainen rahoitusvastuu yhteensä]]-Taulukko9[[#This Row],[Nykytila, kuntien osuus työmarkkinatuesta]]</f>
        <v>177836.14951506059</v>
      </c>
    </row>
    <row r="265" spans="1:9">
      <c r="A265" s="456">
        <v>837</v>
      </c>
      <c r="B265" s="456" t="s">
        <v>265</v>
      </c>
      <c r="C265" s="457">
        <v>255050</v>
      </c>
      <c r="D265" s="458">
        <v>25960338.469999999</v>
      </c>
      <c r="E265" s="458">
        <v>37583533.973999999</v>
      </c>
      <c r="F265" s="458">
        <v>1374308.04</v>
      </c>
      <c r="G265" s="458">
        <v>3577881.3957257299</v>
      </c>
      <c r="H265" s="459">
        <f>SUM(Taulukko9[[#This Row],[Uudistuksten mukainen osuus työmarkkinatuesta]:[Uudistuksen mukainen osuus ansiopäivärahasta]])</f>
        <v>42535723.409725726</v>
      </c>
      <c r="I265" s="467">
        <f>Taulukko9[[#This Row],[Uudistuksen mukainen rahoitusvastuu yhteensä]]-Taulukko9[[#This Row],[Nykytila, kuntien osuus työmarkkinatuesta]]</f>
        <v>16575384.939725727</v>
      </c>
    </row>
    <row r="266" spans="1:9">
      <c r="A266" s="456">
        <v>844</v>
      </c>
      <c r="B266" s="456" t="s">
        <v>266</v>
      </c>
      <c r="C266" s="457">
        <v>1412</v>
      </c>
      <c r="D266" s="458">
        <v>102055.46</v>
      </c>
      <c r="E266" s="458">
        <v>134784.55900000001</v>
      </c>
      <c r="F266" s="458">
        <v>876.74599999999998</v>
      </c>
      <c r="G266" s="458">
        <v>26169.977805782699</v>
      </c>
      <c r="H266" s="459">
        <f>SUM(Taulukko9[[#This Row],[Uudistuksten mukainen osuus työmarkkinatuesta]:[Uudistuksen mukainen osuus ansiopäivärahasta]])</f>
        <v>161831.28280578271</v>
      </c>
      <c r="I266" s="467">
        <f>Taulukko9[[#This Row],[Uudistuksen mukainen rahoitusvastuu yhteensä]]-Taulukko9[[#This Row],[Nykytila, kuntien osuus työmarkkinatuesta]]</f>
        <v>59775.822805782707</v>
      </c>
    </row>
    <row r="267" spans="1:9">
      <c r="A267" s="456">
        <v>845</v>
      </c>
      <c r="B267" s="456" t="s">
        <v>267</v>
      </c>
      <c r="C267" s="457">
        <v>2831</v>
      </c>
      <c r="D267" s="458">
        <v>104780.02</v>
      </c>
      <c r="E267" s="458">
        <v>150215.1925</v>
      </c>
      <c r="F267" s="458">
        <v>3380.3780000000002</v>
      </c>
      <c r="G267" s="458">
        <v>59311.959124205801</v>
      </c>
      <c r="H267" s="459">
        <f>SUM(Taulukko9[[#This Row],[Uudistuksten mukainen osuus työmarkkinatuesta]:[Uudistuksen mukainen osuus ansiopäivärahasta]])</f>
        <v>212907.52962420581</v>
      </c>
      <c r="I267" s="467">
        <f>Taulukko9[[#This Row],[Uudistuksen mukainen rahoitusvastuu yhteensä]]-Taulukko9[[#This Row],[Nykytila, kuntien osuus työmarkkinatuesta]]</f>
        <v>108127.50962420581</v>
      </c>
    </row>
    <row r="268" spans="1:9">
      <c r="A268" s="456">
        <v>846</v>
      </c>
      <c r="B268" s="456" t="s">
        <v>268</v>
      </c>
      <c r="C268" s="457">
        <v>4758</v>
      </c>
      <c r="D268" s="458">
        <v>164849.9</v>
      </c>
      <c r="E268" s="458">
        <v>337431.76899999997</v>
      </c>
      <c r="F268" s="458">
        <v>14929.016</v>
      </c>
      <c r="G268" s="458">
        <v>60892.481896907499</v>
      </c>
      <c r="H268" s="459">
        <f>SUM(Taulukko9[[#This Row],[Uudistuksten mukainen osuus työmarkkinatuesta]:[Uudistuksen mukainen osuus ansiopäivärahasta]])</f>
        <v>413253.26689690747</v>
      </c>
      <c r="I268" s="467">
        <f>Taulukko9[[#This Row],[Uudistuksen mukainen rahoitusvastuu yhteensä]]-Taulukko9[[#This Row],[Nykytila, kuntien osuus työmarkkinatuesta]]</f>
        <v>248403.36689690748</v>
      </c>
    </row>
    <row r="269" spans="1:9">
      <c r="A269" s="456">
        <v>848</v>
      </c>
      <c r="B269" s="456" t="s">
        <v>269</v>
      </c>
      <c r="C269" s="457">
        <v>4066</v>
      </c>
      <c r="D269" s="458">
        <v>299592.02</v>
      </c>
      <c r="E269" s="458">
        <v>446268.69900000002</v>
      </c>
      <c r="F269" s="458">
        <v>30776.01</v>
      </c>
      <c r="G269" s="458">
        <v>158973.857325705</v>
      </c>
      <c r="H269" s="459">
        <f>SUM(Taulukko9[[#This Row],[Uudistuksten mukainen osuus työmarkkinatuesta]:[Uudistuksen mukainen osuus ansiopäivärahasta]])</f>
        <v>636018.56632570503</v>
      </c>
      <c r="I269" s="467">
        <f>Taulukko9[[#This Row],[Uudistuksen mukainen rahoitusvastuu yhteensä]]-Taulukko9[[#This Row],[Nykytila, kuntien osuus työmarkkinatuesta]]</f>
        <v>336426.54632570501</v>
      </c>
    </row>
    <row r="270" spans="1:9">
      <c r="A270" s="456">
        <v>849</v>
      </c>
      <c r="B270" s="456" t="s">
        <v>270</v>
      </c>
      <c r="C270" s="457">
        <v>2849</v>
      </c>
      <c r="D270" s="458">
        <v>102730.01</v>
      </c>
      <c r="E270" s="458">
        <v>196743.02799999999</v>
      </c>
      <c r="F270" s="458">
        <v>9745.027</v>
      </c>
      <c r="G270" s="458">
        <v>21028.467245678501</v>
      </c>
      <c r="H270" s="459">
        <f>SUM(Taulukko9[[#This Row],[Uudistuksten mukainen osuus työmarkkinatuesta]:[Uudistuksen mukainen osuus ansiopäivärahasta]])</f>
        <v>227516.5222456785</v>
      </c>
      <c r="I270" s="467">
        <f>Taulukko9[[#This Row],[Uudistuksen mukainen rahoitusvastuu yhteensä]]-Taulukko9[[#This Row],[Nykytila, kuntien osuus työmarkkinatuesta]]</f>
        <v>124786.5122456785</v>
      </c>
    </row>
    <row r="271" spans="1:9">
      <c r="A271" s="456">
        <v>850</v>
      </c>
      <c r="B271" s="456" t="s">
        <v>271</v>
      </c>
      <c r="C271" s="457">
        <v>2368</v>
      </c>
      <c r="D271" s="458">
        <v>128655.48</v>
      </c>
      <c r="E271" s="458">
        <v>175583.62050000002</v>
      </c>
      <c r="F271" s="458">
        <v>5450.174</v>
      </c>
      <c r="G271" s="458">
        <v>18958.770725554801</v>
      </c>
      <c r="H271" s="459">
        <f>SUM(Taulukko9[[#This Row],[Uudistuksten mukainen osuus työmarkkinatuesta]:[Uudistuksen mukainen osuus ansiopäivärahasta]])</f>
        <v>199992.5652255548</v>
      </c>
      <c r="I271" s="467">
        <f>Taulukko9[[#This Row],[Uudistuksen mukainen rahoitusvastuu yhteensä]]-Taulukko9[[#This Row],[Nykytila, kuntien osuus työmarkkinatuesta]]</f>
        <v>71337.085225554809</v>
      </c>
    </row>
    <row r="272" spans="1:9">
      <c r="A272" s="456">
        <v>851</v>
      </c>
      <c r="B272" s="456" t="s">
        <v>272</v>
      </c>
      <c r="C272" s="457">
        <v>21018</v>
      </c>
      <c r="D272" s="458">
        <v>1117424.27</v>
      </c>
      <c r="E272" s="458">
        <v>1564158.2820000001</v>
      </c>
      <c r="F272" s="458">
        <v>101566.796</v>
      </c>
      <c r="G272" s="458">
        <v>299980.02502312901</v>
      </c>
      <c r="H272" s="459">
        <f>SUM(Taulukko9[[#This Row],[Uudistuksten mukainen osuus työmarkkinatuesta]:[Uudistuksen mukainen osuus ansiopäivärahasta]])</f>
        <v>1965705.1030231293</v>
      </c>
      <c r="I272" s="467">
        <f>Taulukko9[[#This Row],[Uudistuksen mukainen rahoitusvastuu yhteensä]]-Taulukko9[[#This Row],[Nykytila, kuntien osuus työmarkkinatuesta]]</f>
        <v>848280.83302312926</v>
      </c>
    </row>
    <row r="273" spans="1:9">
      <c r="A273" s="456">
        <v>853</v>
      </c>
      <c r="B273" s="456" t="s">
        <v>273</v>
      </c>
      <c r="C273" s="457">
        <v>201863</v>
      </c>
      <c r="D273" s="458">
        <v>22131694.870000001</v>
      </c>
      <c r="E273" s="458">
        <v>25793772.302000001</v>
      </c>
      <c r="F273" s="458">
        <v>1301561.5930000001</v>
      </c>
      <c r="G273" s="458">
        <v>3235742.0175101599</v>
      </c>
      <c r="H273" s="459">
        <f>SUM(Taulukko9[[#This Row],[Uudistuksten mukainen osuus työmarkkinatuesta]:[Uudistuksen mukainen osuus ansiopäivärahasta]])</f>
        <v>30331075.91251016</v>
      </c>
      <c r="I273" s="467">
        <f>Taulukko9[[#This Row],[Uudistuksen mukainen rahoitusvastuu yhteensä]]-Taulukko9[[#This Row],[Nykytila, kuntien osuus työmarkkinatuesta]]</f>
        <v>8199381.0425101593</v>
      </c>
    </row>
    <row r="274" spans="1:9">
      <c r="A274" s="456">
        <v>854</v>
      </c>
      <c r="B274" s="456" t="s">
        <v>274</v>
      </c>
      <c r="C274" s="457">
        <v>3253</v>
      </c>
      <c r="D274" s="458">
        <v>145318.67000000001</v>
      </c>
      <c r="E274" s="458">
        <v>188776.46999999997</v>
      </c>
      <c r="F274" s="458">
        <v>7104.7330000000002</v>
      </c>
      <c r="G274" s="458">
        <v>64522.528662246797</v>
      </c>
      <c r="H274" s="459">
        <f>SUM(Taulukko9[[#This Row],[Uudistuksten mukainen osuus työmarkkinatuesta]:[Uudistuksen mukainen osuus ansiopäivärahasta]])</f>
        <v>260403.73166224678</v>
      </c>
      <c r="I274" s="467">
        <f>Taulukko9[[#This Row],[Uudistuksen mukainen rahoitusvastuu yhteensä]]-Taulukko9[[#This Row],[Nykytila, kuntien osuus työmarkkinatuesta]]</f>
        <v>115085.06166224676</v>
      </c>
    </row>
    <row r="275" spans="1:9">
      <c r="A275" s="456">
        <v>857</v>
      </c>
      <c r="B275" s="456" t="s">
        <v>275</v>
      </c>
      <c r="C275" s="457">
        <v>2313</v>
      </c>
      <c r="D275" s="458">
        <v>218334.7</v>
      </c>
      <c r="E275" s="458">
        <v>234397.64</v>
      </c>
      <c r="F275" s="458">
        <v>6096.848</v>
      </c>
      <c r="G275" s="458">
        <v>28444.657785029001</v>
      </c>
      <c r="H275" s="459">
        <f>SUM(Taulukko9[[#This Row],[Uudistuksten mukainen osuus työmarkkinatuesta]:[Uudistuksen mukainen osuus ansiopäivärahasta]])</f>
        <v>268939.14578502899</v>
      </c>
      <c r="I275" s="467">
        <f>Taulukko9[[#This Row],[Uudistuksen mukainen rahoitusvastuu yhteensä]]-Taulukko9[[#This Row],[Nykytila, kuntien osuus työmarkkinatuesta]]</f>
        <v>50604.445785028976</v>
      </c>
    </row>
    <row r="276" spans="1:9">
      <c r="A276" s="456">
        <v>858</v>
      </c>
      <c r="B276" s="456" t="s">
        <v>276</v>
      </c>
      <c r="C276" s="457">
        <v>41338</v>
      </c>
      <c r="D276" s="458">
        <v>2235144.46</v>
      </c>
      <c r="E276" s="458">
        <v>2476009.3064999999</v>
      </c>
      <c r="F276" s="458">
        <v>116296.09600000001</v>
      </c>
      <c r="G276" s="458">
        <v>460648.02790225402</v>
      </c>
      <c r="H276" s="459">
        <f>SUM(Taulukko9[[#This Row],[Uudistuksten mukainen osuus työmarkkinatuesta]:[Uudistuksen mukainen osuus ansiopäivärahasta]])</f>
        <v>3052953.4304022538</v>
      </c>
      <c r="I276" s="467">
        <f>Taulukko9[[#This Row],[Uudistuksen mukainen rahoitusvastuu yhteensä]]-Taulukko9[[#This Row],[Nykytila, kuntien osuus työmarkkinatuesta]]</f>
        <v>817808.97040225379</v>
      </c>
    </row>
    <row r="277" spans="1:9">
      <c r="A277" s="456">
        <v>859</v>
      </c>
      <c r="B277" s="456" t="s">
        <v>277</v>
      </c>
      <c r="C277" s="457">
        <v>6525</v>
      </c>
      <c r="D277" s="458">
        <v>243957.4</v>
      </c>
      <c r="E277" s="458">
        <v>321192.14</v>
      </c>
      <c r="F277" s="458">
        <v>15178.975</v>
      </c>
      <c r="G277" s="458">
        <v>67774.020593911002</v>
      </c>
      <c r="H277" s="459">
        <f>SUM(Taulukko9[[#This Row],[Uudistuksten mukainen osuus työmarkkinatuesta]:[Uudistuksen mukainen osuus ansiopäivärahasta]])</f>
        <v>404145.13559391099</v>
      </c>
      <c r="I277" s="467">
        <f>Taulukko9[[#This Row],[Uudistuksen mukainen rahoitusvastuu yhteensä]]-Taulukko9[[#This Row],[Nykytila, kuntien osuus työmarkkinatuesta]]</f>
        <v>160187.735593911</v>
      </c>
    </row>
    <row r="278" spans="1:9">
      <c r="A278" s="456">
        <v>886</v>
      </c>
      <c r="B278" s="456" t="s">
        <v>278</v>
      </c>
      <c r="C278" s="457">
        <v>12533</v>
      </c>
      <c r="D278" s="458">
        <v>550032.17000000004</v>
      </c>
      <c r="E278" s="458">
        <v>829486.00399999996</v>
      </c>
      <c r="F278" s="458">
        <v>24795.868999999999</v>
      </c>
      <c r="G278" s="458">
        <v>167329.07523340799</v>
      </c>
      <c r="H278" s="459">
        <f>SUM(Taulukko9[[#This Row],[Uudistuksten mukainen osuus työmarkkinatuesta]:[Uudistuksen mukainen osuus ansiopäivärahasta]])</f>
        <v>1021610.9482334079</v>
      </c>
      <c r="I278" s="467">
        <f>Taulukko9[[#This Row],[Uudistuksen mukainen rahoitusvastuu yhteensä]]-Taulukko9[[#This Row],[Nykytila, kuntien osuus työmarkkinatuesta]]</f>
        <v>471578.77823340788</v>
      </c>
    </row>
    <row r="279" spans="1:9">
      <c r="A279" s="456">
        <v>887</v>
      </c>
      <c r="B279" s="456" t="s">
        <v>279</v>
      </c>
      <c r="C279" s="457">
        <v>4568</v>
      </c>
      <c r="D279" s="458">
        <v>267965.59999999998</v>
      </c>
      <c r="E279" s="458">
        <v>634605.55249999999</v>
      </c>
      <c r="F279" s="458">
        <v>24319.513999999999</v>
      </c>
      <c r="G279" s="458">
        <v>62168.187132710103</v>
      </c>
      <c r="H279" s="459">
        <f>SUM(Taulukko9[[#This Row],[Uudistuksten mukainen osuus työmarkkinatuesta]:[Uudistuksen mukainen osuus ansiopäivärahasta]])</f>
        <v>721093.25363271008</v>
      </c>
      <c r="I279" s="467">
        <f>Taulukko9[[#This Row],[Uudistuksen mukainen rahoitusvastuu yhteensä]]-Taulukko9[[#This Row],[Nykytila, kuntien osuus työmarkkinatuesta]]</f>
        <v>453127.65363271011</v>
      </c>
    </row>
    <row r="280" spans="1:9">
      <c r="A280" s="456">
        <v>889</v>
      </c>
      <c r="B280" s="456" t="s">
        <v>280</v>
      </c>
      <c r="C280" s="457">
        <v>2491</v>
      </c>
      <c r="D280" s="458">
        <v>35509.589999999997</v>
      </c>
      <c r="E280" s="458">
        <v>76314.679999999993</v>
      </c>
      <c r="F280" s="458">
        <v>6942.6639999999998</v>
      </c>
      <c r="G280" s="458">
        <v>63817.129924481298</v>
      </c>
      <c r="H280" s="459">
        <f>SUM(Taulukko9[[#This Row],[Uudistuksten mukainen osuus työmarkkinatuesta]:[Uudistuksen mukainen osuus ansiopäivärahasta]])</f>
        <v>147074.47392448131</v>
      </c>
      <c r="I280" s="467">
        <f>Taulukko9[[#This Row],[Uudistuksen mukainen rahoitusvastuu yhteensä]]-Taulukko9[[#This Row],[Nykytila, kuntien osuus työmarkkinatuesta]]</f>
        <v>111564.88392448131</v>
      </c>
    </row>
    <row r="281" spans="1:9">
      <c r="A281" s="456">
        <v>890</v>
      </c>
      <c r="B281" s="456" t="s">
        <v>281</v>
      </c>
      <c r="C281" s="457">
        <v>1139</v>
      </c>
      <c r="D281" s="458">
        <v>88460.62</v>
      </c>
      <c r="E281" s="458">
        <v>83352.911999999997</v>
      </c>
      <c r="F281" s="458">
        <v>11611.933999999999</v>
      </c>
      <c r="G281" s="458">
        <v>16933.7349740836</v>
      </c>
      <c r="H281" s="459">
        <f>SUM(Taulukko9[[#This Row],[Uudistuksten mukainen osuus työmarkkinatuesta]:[Uudistuksen mukainen osuus ansiopäivärahasta]])</f>
        <v>111898.5809740836</v>
      </c>
      <c r="I281" s="467">
        <f>Taulukko9[[#This Row],[Uudistuksen mukainen rahoitusvastuu yhteensä]]-Taulukko9[[#This Row],[Nykytila, kuntien osuus työmarkkinatuesta]]</f>
        <v>23437.960974083602</v>
      </c>
    </row>
    <row r="282" spans="1:9">
      <c r="A282" s="456">
        <v>892</v>
      </c>
      <c r="B282" s="456" t="s">
        <v>282</v>
      </c>
      <c r="C282" s="457">
        <v>3615</v>
      </c>
      <c r="D282" s="458">
        <v>212384.24</v>
      </c>
      <c r="E282" s="458">
        <v>305415.83100000001</v>
      </c>
      <c r="F282" s="458">
        <v>13857.156999999999</v>
      </c>
      <c r="G282" s="458">
        <v>63367.344341803997</v>
      </c>
      <c r="H282" s="459">
        <f>SUM(Taulukko9[[#This Row],[Uudistuksten mukainen osuus työmarkkinatuesta]:[Uudistuksen mukainen osuus ansiopäivärahasta]])</f>
        <v>382640.33234180399</v>
      </c>
      <c r="I282" s="467">
        <f>Taulukko9[[#This Row],[Uudistuksen mukainen rahoitusvastuu yhteensä]]-Taulukko9[[#This Row],[Nykytila, kuntien osuus työmarkkinatuesta]]</f>
        <v>170256.092341804</v>
      </c>
    </row>
    <row r="283" spans="1:9">
      <c r="A283" s="456">
        <v>893</v>
      </c>
      <c r="B283" s="456" t="s">
        <v>283</v>
      </c>
      <c r="C283" s="457">
        <v>7500</v>
      </c>
      <c r="D283" s="458">
        <v>112270.21</v>
      </c>
      <c r="E283" s="458">
        <v>338471.72399999999</v>
      </c>
      <c r="F283" s="458">
        <v>21638.805</v>
      </c>
      <c r="G283" s="458">
        <v>30036.812685770201</v>
      </c>
      <c r="H283" s="459">
        <f>SUM(Taulukko9[[#This Row],[Uudistuksten mukainen osuus työmarkkinatuesta]:[Uudistuksen mukainen osuus ansiopäivärahasta]])</f>
        <v>390147.3416857702</v>
      </c>
      <c r="I283" s="467">
        <f>Taulukko9[[#This Row],[Uudistuksen mukainen rahoitusvastuu yhteensä]]-Taulukko9[[#This Row],[Nykytila, kuntien osuus työmarkkinatuesta]]</f>
        <v>277877.13168577017</v>
      </c>
    </row>
    <row r="284" spans="1:9">
      <c r="A284" s="456">
        <v>895</v>
      </c>
      <c r="B284" s="456" t="s">
        <v>284</v>
      </c>
      <c r="C284" s="457">
        <v>14938</v>
      </c>
      <c r="D284" s="458">
        <v>436852.75</v>
      </c>
      <c r="E284" s="458">
        <v>903627.02600000007</v>
      </c>
      <c r="F284" s="458">
        <v>46544.695</v>
      </c>
      <c r="G284" s="458">
        <v>349960.97755961597</v>
      </c>
      <c r="H284" s="459">
        <f>SUM(Taulukko9[[#This Row],[Uudistuksten mukainen osuus työmarkkinatuesta]:[Uudistuksen mukainen osuus ansiopäivärahasta]])</f>
        <v>1300132.698559616</v>
      </c>
      <c r="I284" s="467">
        <f>Taulukko9[[#This Row],[Uudistuksen mukainen rahoitusvastuu yhteensä]]-Taulukko9[[#This Row],[Nykytila, kuntien osuus työmarkkinatuesta]]</f>
        <v>863279.94855961599</v>
      </c>
    </row>
    <row r="285" spans="1:9">
      <c r="A285" s="456">
        <v>905</v>
      </c>
      <c r="B285" s="456" t="s">
        <v>285</v>
      </c>
      <c r="C285" s="457">
        <v>68956</v>
      </c>
      <c r="D285" s="458">
        <v>4324757.1500000004</v>
      </c>
      <c r="E285" s="458">
        <v>6849459.71</v>
      </c>
      <c r="F285" s="458">
        <v>296526.69300000003</v>
      </c>
      <c r="G285" s="458">
        <v>672894.76442674105</v>
      </c>
      <c r="H285" s="459">
        <f>SUM(Taulukko9[[#This Row],[Uudistuksten mukainen osuus työmarkkinatuesta]:[Uudistuksen mukainen osuus ansiopäivärahasta]])</f>
        <v>7818881.1674267408</v>
      </c>
      <c r="I285" s="467">
        <f>Taulukko9[[#This Row],[Uudistuksen mukainen rahoitusvastuu yhteensä]]-Taulukko9[[#This Row],[Nykytila, kuntien osuus työmarkkinatuesta]]</f>
        <v>3494124.0174267404</v>
      </c>
    </row>
    <row r="286" spans="1:9">
      <c r="A286" s="456">
        <v>908</v>
      </c>
      <c r="B286" s="456" t="s">
        <v>286</v>
      </c>
      <c r="C286" s="457">
        <v>20694</v>
      </c>
      <c r="D286" s="458">
        <v>1409770.19</v>
      </c>
      <c r="E286" s="458">
        <v>2137541.1660000002</v>
      </c>
      <c r="F286" s="458">
        <v>78639.428</v>
      </c>
      <c r="G286" s="458">
        <v>340880.19570171298</v>
      </c>
      <c r="H286" s="459">
        <f>SUM(Taulukko9[[#This Row],[Uudistuksten mukainen osuus työmarkkinatuesta]:[Uudistuksen mukainen osuus ansiopäivärahasta]])</f>
        <v>2557060.7897017132</v>
      </c>
      <c r="I286" s="467">
        <f>Taulukko9[[#This Row],[Uudistuksen mukainen rahoitusvastuu yhteensä]]-Taulukko9[[#This Row],[Nykytila, kuntien osuus työmarkkinatuesta]]</f>
        <v>1147290.5997017133</v>
      </c>
    </row>
    <row r="287" spans="1:9">
      <c r="A287" s="456">
        <v>915</v>
      </c>
      <c r="B287" s="456" t="s">
        <v>287</v>
      </c>
      <c r="C287" s="457">
        <v>19727</v>
      </c>
      <c r="D287" s="458">
        <v>1607640.96</v>
      </c>
      <c r="E287" s="458">
        <v>2651661.9844999998</v>
      </c>
      <c r="F287" s="458">
        <v>94541.180999999997</v>
      </c>
      <c r="G287" s="458">
        <v>324967.95944261801</v>
      </c>
      <c r="H287" s="459">
        <f>SUM(Taulukko9[[#This Row],[Uudistuksten mukainen osuus työmarkkinatuesta]:[Uudistuksen mukainen osuus ansiopäivärahasta]])</f>
        <v>3071171.1249426175</v>
      </c>
      <c r="I287" s="467">
        <f>Taulukko9[[#This Row],[Uudistuksen mukainen rahoitusvastuu yhteensä]]-Taulukko9[[#This Row],[Nykytila, kuntien osuus työmarkkinatuesta]]</f>
        <v>1463530.1649426175</v>
      </c>
    </row>
    <row r="288" spans="1:9">
      <c r="A288" s="456">
        <v>918</v>
      </c>
      <c r="B288" s="456" t="s">
        <v>288</v>
      </c>
      <c r="C288" s="457">
        <v>2245</v>
      </c>
      <c r="D288" s="458">
        <v>125119.03999999999</v>
      </c>
      <c r="E288" s="458">
        <v>116755.359</v>
      </c>
      <c r="F288" s="458">
        <v>9320.7039999999997</v>
      </c>
      <c r="G288" s="458">
        <v>27034.201172728899</v>
      </c>
      <c r="H288" s="459">
        <f>SUM(Taulukko9[[#This Row],[Uudistuksten mukainen osuus työmarkkinatuesta]:[Uudistuksen mukainen osuus ansiopäivärahasta]])</f>
        <v>153110.2641727289</v>
      </c>
      <c r="I288" s="467">
        <f>Taulukko9[[#This Row],[Uudistuksen mukainen rahoitusvastuu yhteensä]]-Taulukko9[[#This Row],[Nykytila, kuntien osuus työmarkkinatuesta]]</f>
        <v>27991.224172728907</v>
      </c>
    </row>
    <row r="289" spans="1:9">
      <c r="A289" s="456">
        <v>921</v>
      </c>
      <c r="B289" s="456" t="s">
        <v>289</v>
      </c>
      <c r="C289" s="457">
        <v>1895</v>
      </c>
      <c r="D289" s="458">
        <v>103530.54</v>
      </c>
      <c r="E289" s="458">
        <v>148047.94650000002</v>
      </c>
      <c r="F289" s="458">
        <v>11043.753000000001</v>
      </c>
      <c r="G289" s="458">
        <v>27361.704964913501</v>
      </c>
      <c r="H289" s="459">
        <f>SUM(Taulukko9[[#This Row],[Uudistuksten mukainen osuus työmarkkinatuesta]:[Uudistuksen mukainen osuus ansiopäivärahasta]])</f>
        <v>186453.40446491353</v>
      </c>
      <c r="I289" s="467">
        <f>Taulukko9[[#This Row],[Uudistuksen mukainen rahoitusvastuu yhteensä]]-Taulukko9[[#This Row],[Nykytila, kuntien osuus työmarkkinatuesta]]</f>
        <v>82922.864464913539</v>
      </c>
    </row>
    <row r="290" spans="1:9">
      <c r="A290" s="456">
        <v>922</v>
      </c>
      <c r="B290" s="456" t="s">
        <v>290</v>
      </c>
      <c r="C290" s="457">
        <v>4469</v>
      </c>
      <c r="D290" s="458">
        <v>102620.07</v>
      </c>
      <c r="E290" s="458">
        <v>275014.24</v>
      </c>
      <c r="F290" s="458">
        <v>16812.72</v>
      </c>
      <c r="G290" s="458">
        <v>47005.3086373103</v>
      </c>
      <c r="H290" s="459">
        <f>SUM(Taulukko9[[#This Row],[Uudistuksten mukainen osuus työmarkkinatuesta]:[Uudistuksen mukainen osuus ansiopäivärahasta]])</f>
        <v>338832.26863731025</v>
      </c>
      <c r="I290" s="467">
        <f>Taulukko9[[#This Row],[Uudistuksen mukainen rahoitusvastuu yhteensä]]-Taulukko9[[#This Row],[Nykytila, kuntien osuus työmarkkinatuesta]]</f>
        <v>236212.19863731024</v>
      </c>
    </row>
    <row r="291" spans="1:9">
      <c r="A291" s="456">
        <v>924</v>
      </c>
      <c r="B291" s="456" t="s">
        <v>291</v>
      </c>
      <c r="C291" s="457">
        <v>2936</v>
      </c>
      <c r="D291" s="458">
        <v>107664.95</v>
      </c>
      <c r="E291" s="458">
        <v>216072.25949999999</v>
      </c>
      <c r="F291" s="458">
        <v>9079.8169999999991</v>
      </c>
      <c r="G291" s="458">
        <v>21678.831694678302</v>
      </c>
      <c r="H291" s="459">
        <f>SUM(Taulukko9[[#This Row],[Uudistuksten mukainen osuus työmarkkinatuesta]:[Uudistuksen mukainen osuus ansiopäivärahasta]])</f>
        <v>246830.90819467831</v>
      </c>
      <c r="I291" s="467">
        <f>Taulukko9[[#This Row],[Uudistuksen mukainen rahoitusvastuu yhteensä]]-Taulukko9[[#This Row],[Nykytila, kuntien osuus työmarkkinatuesta]]</f>
        <v>139165.9581946783</v>
      </c>
    </row>
    <row r="292" spans="1:9">
      <c r="A292" s="456">
        <v>925</v>
      </c>
      <c r="B292" s="456" t="s">
        <v>292</v>
      </c>
      <c r="C292" s="457">
        <v>3387</v>
      </c>
      <c r="D292" s="458">
        <v>170060.21</v>
      </c>
      <c r="E292" s="458">
        <v>210771.84999999998</v>
      </c>
      <c r="F292" s="458">
        <v>17451.123</v>
      </c>
      <c r="G292" s="458">
        <v>45067.833837947503</v>
      </c>
      <c r="H292" s="459">
        <f>SUM(Taulukko9[[#This Row],[Uudistuksten mukainen osuus työmarkkinatuesta]:[Uudistuksen mukainen osuus ansiopäivärahasta]])</f>
        <v>273290.80683794746</v>
      </c>
      <c r="I292" s="467">
        <f>Taulukko9[[#This Row],[Uudistuksen mukainen rahoitusvastuu yhteensä]]-Taulukko9[[#This Row],[Nykytila, kuntien osuus työmarkkinatuesta]]</f>
        <v>103230.59683794747</v>
      </c>
    </row>
    <row r="293" spans="1:9">
      <c r="A293" s="456">
        <v>927</v>
      </c>
      <c r="B293" s="456" t="s">
        <v>293</v>
      </c>
      <c r="C293" s="457">
        <v>28811</v>
      </c>
      <c r="D293" s="458">
        <v>1665947.14</v>
      </c>
      <c r="E293" s="458">
        <v>2175305.3159999996</v>
      </c>
      <c r="F293" s="458">
        <v>82907.459000000003</v>
      </c>
      <c r="G293" s="458">
        <v>354764.29938190198</v>
      </c>
      <c r="H293" s="459">
        <f>SUM(Taulukko9[[#This Row],[Uudistuksten mukainen osuus työmarkkinatuesta]:[Uudistuksen mukainen osuus ansiopäivärahasta]])</f>
        <v>2612977.0743819014</v>
      </c>
      <c r="I293" s="467">
        <f>Taulukko9[[#This Row],[Uudistuksen mukainen rahoitusvastuu yhteensä]]-Taulukko9[[#This Row],[Nykytila, kuntien osuus työmarkkinatuesta]]</f>
        <v>947029.93438190152</v>
      </c>
    </row>
    <row r="294" spans="1:9">
      <c r="A294" s="456">
        <v>931</v>
      </c>
      <c r="B294" s="456" t="s">
        <v>294</v>
      </c>
      <c r="C294" s="457">
        <v>5877</v>
      </c>
      <c r="D294" s="458">
        <v>182109.38</v>
      </c>
      <c r="E294" s="458">
        <v>266675.85399999999</v>
      </c>
      <c r="F294" s="458">
        <v>16912.600999999999</v>
      </c>
      <c r="G294" s="458">
        <v>124127.93030777</v>
      </c>
      <c r="H294" s="459">
        <f>SUM(Taulukko9[[#This Row],[Uudistuksten mukainen osuus työmarkkinatuesta]:[Uudistuksen mukainen osuus ansiopäivärahasta]])</f>
        <v>407716.38530776999</v>
      </c>
      <c r="I294" s="467">
        <f>Taulukko9[[#This Row],[Uudistuksen mukainen rahoitusvastuu yhteensä]]-Taulukko9[[#This Row],[Nykytila, kuntien osuus työmarkkinatuesta]]</f>
        <v>225607.00530776998</v>
      </c>
    </row>
    <row r="295" spans="1:9">
      <c r="A295" s="456">
        <v>934</v>
      </c>
      <c r="B295" s="456" t="s">
        <v>295</v>
      </c>
      <c r="C295" s="457">
        <v>2656</v>
      </c>
      <c r="D295" s="458">
        <v>53610.76</v>
      </c>
      <c r="E295" s="458">
        <v>84508.784</v>
      </c>
      <c r="F295" s="458">
        <v>5889.4279999999999</v>
      </c>
      <c r="G295" s="458">
        <v>26651.069688261399</v>
      </c>
      <c r="H295" s="459">
        <f>SUM(Taulukko9[[#This Row],[Uudistuksten mukainen osuus työmarkkinatuesta]:[Uudistuksen mukainen osuus ansiopäivärahasta]])</f>
        <v>117049.2816882614</v>
      </c>
      <c r="I295" s="467">
        <f>Taulukko9[[#This Row],[Uudistuksen mukainen rahoitusvastuu yhteensä]]-Taulukko9[[#This Row],[Nykytila, kuntien osuus työmarkkinatuesta]]</f>
        <v>63438.521688261397</v>
      </c>
    </row>
    <row r="296" spans="1:9">
      <c r="A296" s="456">
        <v>935</v>
      </c>
      <c r="B296" s="456" t="s">
        <v>296</v>
      </c>
      <c r="C296" s="457">
        <v>2927</v>
      </c>
      <c r="D296" s="458">
        <v>239531.83</v>
      </c>
      <c r="E296" s="458">
        <v>321404.76150000002</v>
      </c>
      <c r="F296" s="458">
        <v>20432.928</v>
      </c>
      <c r="G296" s="458">
        <v>48809.623189156897</v>
      </c>
      <c r="H296" s="459">
        <f>SUM(Taulukko9[[#This Row],[Uudistuksten mukainen osuus työmarkkinatuesta]:[Uudistuksen mukainen osuus ansiopäivärahasta]])</f>
        <v>390647.31268915691</v>
      </c>
      <c r="I296" s="467">
        <f>Taulukko9[[#This Row],[Uudistuksen mukainen rahoitusvastuu yhteensä]]-Taulukko9[[#This Row],[Nykytila, kuntien osuus työmarkkinatuesta]]</f>
        <v>151115.48268915692</v>
      </c>
    </row>
    <row r="297" spans="1:9">
      <c r="A297" s="456">
        <v>936</v>
      </c>
      <c r="B297" s="456" t="s">
        <v>297</v>
      </c>
      <c r="C297" s="457">
        <v>6275</v>
      </c>
      <c r="D297" s="458">
        <v>270432.83</v>
      </c>
      <c r="E297" s="458">
        <v>423073.93349999998</v>
      </c>
      <c r="F297" s="458">
        <v>15302.897000000001</v>
      </c>
      <c r="G297" s="458">
        <v>80698.810224850095</v>
      </c>
      <c r="H297" s="459">
        <f>SUM(Taulukko9[[#This Row],[Uudistuksten mukainen osuus työmarkkinatuesta]:[Uudistuksen mukainen osuus ansiopäivärahasta]])</f>
        <v>519075.64072485006</v>
      </c>
      <c r="I297" s="467">
        <f>Taulukko9[[#This Row],[Uudistuksen mukainen rahoitusvastuu yhteensä]]-Taulukko9[[#This Row],[Nykytila, kuntien osuus työmarkkinatuesta]]</f>
        <v>248642.81072485005</v>
      </c>
    </row>
    <row r="298" spans="1:9">
      <c r="A298" s="456">
        <v>946</v>
      </c>
      <c r="B298" s="456" t="s">
        <v>298</v>
      </c>
      <c r="C298" s="457">
        <v>6291</v>
      </c>
      <c r="D298" s="458">
        <v>199515.73</v>
      </c>
      <c r="E298" s="458">
        <v>346137.92949999997</v>
      </c>
      <c r="F298" s="458">
        <v>22012.026999999998</v>
      </c>
      <c r="G298" s="458">
        <v>34988.3705087895</v>
      </c>
      <c r="H298" s="459">
        <f>SUM(Taulukko9[[#This Row],[Uudistuksten mukainen osuus työmarkkinatuesta]:[Uudistuksen mukainen osuus ansiopäivärahasta]])</f>
        <v>403138.32700878946</v>
      </c>
      <c r="I298" s="467">
        <f>Taulukko9[[#This Row],[Uudistuksen mukainen rahoitusvastuu yhteensä]]-Taulukko9[[#This Row],[Nykytila, kuntien osuus työmarkkinatuesta]]</f>
        <v>203622.59700878945</v>
      </c>
    </row>
    <row r="299" spans="1:9">
      <c r="A299" s="456">
        <v>976</v>
      </c>
      <c r="B299" s="456" t="s">
        <v>299</v>
      </c>
      <c r="C299" s="457">
        <v>3765</v>
      </c>
      <c r="D299" s="458">
        <v>174430.36</v>
      </c>
      <c r="E299" s="458">
        <v>262784.223</v>
      </c>
      <c r="F299" s="458">
        <v>17584.151000000002</v>
      </c>
      <c r="G299" s="458">
        <v>82813.661536132306</v>
      </c>
      <c r="H299" s="459">
        <f>SUM(Taulukko9[[#This Row],[Uudistuksten mukainen osuus työmarkkinatuesta]:[Uudistuksen mukainen osuus ansiopäivärahasta]])</f>
        <v>363182.03553613229</v>
      </c>
      <c r="I299" s="467">
        <f>Taulukko9[[#This Row],[Uudistuksen mukainen rahoitusvastuu yhteensä]]-Taulukko9[[#This Row],[Nykytila, kuntien osuus työmarkkinatuesta]]</f>
        <v>188751.6755361323</v>
      </c>
    </row>
    <row r="300" spans="1:9">
      <c r="A300" s="456">
        <v>977</v>
      </c>
      <c r="B300" s="456" t="s">
        <v>300</v>
      </c>
      <c r="C300" s="457">
        <v>15369</v>
      </c>
      <c r="D300" s="458">
        <v>846133.41</v>
      </c>
      <c r="E300" s="458">
        <v>1100708.0395</v>
      </c>
      <c r="F300" s="458">
        <v>47437.881999999998</v>
      </c>
      <c r="G300" s="458">
        <v>176598.442834193</v>
      </c>
      <c r="H300" s="459">
        <f>SUM(Taulukko9[[#This Row],[Uudistuksten mukainen osuus työmarkkinatuesta]:[Uudistuksen mukainen osuus ansiopäivärahasta]])</f>
        <v>1324744.3643341931</v>
      </c>
      <c r="I300" s="467">
        <f>Taulukko9[[#This Row],[Uudistuksen mukainen rahoitusvastuu yhteensä]]-Taulukko9[[#This Row],[Nykytila, kuntien osuus työmarkkinatuesta]]</f>
        <v>478610.95433419303</v>
      </c>
    </row>
    <row r="301" spans="1:9">
      <c r="A301" s="456">
        <v>980</v>
      </c>
      <c r="B301" s="456" t="s">
        <v>301</v>
      </c>
      <c r="C301" s="457">
        <v>33677</v>
      </c>
      <c r="D301" s="458">
        <v>1238521.6499999999</v>
      </c>
      <c r="E301" s="458">
        <v>1888736.8204999999</v>
      </c>
      <c r="F301" s="458">
        <v>92509.567999999999</v>
      </c>
      <c r="G301" s="458">
        <v>411328.94328935997</v>
      </c>
      <c r="H301" s="459">
        <f>SUM(Taulukko9[[#This Row],[Uudistuksten mukainen osuus työmarkkinatuesta]:[Uudistuksen mukainen osuus ansiopäivärahasta]])</f>
        <v>2392575.3317893599</v>
      </c>
      <c r="I301" s="467">
        <f>Taulukko9[[#This Row],[Uudistuksen mukainen rahoitusvastuu yhteensä]]-Taulukko9[[#This Row],[Nykytila, kuntien osuus työmarkkinatuesta]]</f>
        <v>1154053.68178936</v>
      </c>
    </row>
    <row r="302" spans="1:9">
      <c r="A302" s="456">
        <v>981</v>
      </c>
      <c r="B302" s="456" t="s">
        <v>302</v>
      </c>
      <c r="C302" s="457">
        <v>2207</v>
      </c>
      <c r="D302" s="458">
        <v>98245.64</v>
      </c>
      <c r="E302" s="458">
        <v>199653.05599999998</v>
      </c>
      <c r="F302" s="458">
        <v>10558.165999999999</v>
      </c>
      <c r="G302" s="458">
        <v>23731.2132459147</v>
      </c>
      <c r="H302" s="459">
        <f>SUM(Taulukko9[[#This Row],[Uudistuksten mukainen osuus työmarkkinatuesta]:[Uudistuksen mukainen osuus ansiopäivärahasta]])</f>
        <v>233942.43524591468</v>
      </c>
      <c r="I302" s="467">
        <f>Taulukko9[[#This Row],[Uudistuksen mukainen rahoitusvastuu yhteensä]]-Taulukko9[[#This Row],[Nykytila, kuntien osuus työmarkkinatuesta]]</f>
        <v>135696.79524591466</v>
      </c>
    </row>
    <row r="303" spans="1:9">
      <c r="A303" s="456">
        <v>989</v>
      </c>
      <c r="B303" s="456" t="s">
        <v>303</v>
      </c>
      <c r="C303" s="457">
        <v>5316</v>
      </c>
      <c r="D303" s="458">
        <v>183624.56</v>
      </c>
      <c r="E303" s="458">
        <v>303252.42949999997</v>
      </c>
      <c r="F303" s="458">
        <v>27261.588</v>
      </c>
      <c r="G303" s="458">
        <v>58117.375011658798</v>
      </c>
      <c r="H303" s="459">
        <f>SUM(Taulukko9[[#This Row],[Uudistuksten mukainen osuus työmarkkinatuesta]:[Uudistuksen mukainen osuus ansiopäivärahasta]])</f>
        <v>388631.39251165878</v>
      </c>
      <c r="I303" s="467">
        <f>Taulukko9[[#This Row],[Uudistuksen mukainen rahoitusvastuu yhteensä]]-Taulukko9[[#This Row],[Nykytila, kuntien osuus työmarkkinatuesta]]</f>
        <v>205006.83251165878</v>
      </c>
    </row>
    <row r="304" spans="1:9">
      <c r="A304" s="460">
        <v>992</v>
      </c>
      <c r="B304" s="460" t="s">
        <v>304</v>
      </c>
      <c r="C304" s="461">
        <v>17971</v>
      </c>
      <c r="D304" s="458">
        <v>1096695.52</v>
      </c>
      <c r="E304" s="458">
        <v>1864650.838</v>
      </c>
      <c r="F304" s="458">
        <v>85999.801999999996</v>
      </c>
      <c r="G304" s="458">
        <v>462667.095360037</v>
      </c>
      <c r="H304" s="459">
        <f>SUM(Taulukko9[[#This Row],[Uudistuksten mukainen osuus työmarkkinatuesta]:[Uudistuksen mukainen osuus ansiopäivärahasta]])</f>
        <v>2413317.7353600371</v>
      </c>
      <c r="I304" s="467">
        <f>Taulukko9[[#This Row],[Uudistuksen mukainen rahoitusvastuu yhteensä]]-Taulukko9[[#This Row],[Nykytila, kuntien osuus työmarkkinatuesta]]</f>
        <v>1316622.2153600371</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T404"/>
  <sheetViews>
    <sheetView zoomScale="90" zoomScaleNormal="90" workbookViewId="0">
      <pane xSplit="2" ySplit="6" topLeftCell="C7" activePane="bottomRight" state="frozen"/>
      <selection pane="topRight" activeCell="C1" sqref="C1"/>
      <selection pane="bottomLeft" activeCell="A11" sqref="A11"/>
      <selection pane="bottomRight"/>
    </sheetView>
  </sheetViews>
  <sheetFormatPr defaultRowHeight="14.25"/>
  <cols>
    <col min="1" max="1" width="20.75" style="58" customWidth="1"/>
    <col min="2" max="2" width="19.125" style="1" customWidth="1"/>
    <col min="3" max="3" width="19.125" style="2" customWidth="1"/>
    <col min="4" max="4" width="16.375" style="2" bestFit="1" customWidth="1"/>
    <col min="5" max="5" width="19.125" style="2" customWidth="1"/>
    <col min="6" max="6" width="19.125" style="7" customWidth="1"/>
    <col min="7" max="7" width="19.125" style="50" customWidth="1"/>
    <col min="8" max="8" width="19.125" style="51" customWidth="1"/>
    <col min="9" max="9" width="20.625" style="51" bestFit="1" customWidth="1"/>
    <col min="10" max="11" width="19.125" style="7" customWidth="1"/>
    <col min="12" max="12" width="19.125" style="8" customWidth="1"/>
    <col min="13" max="13" width="19.125" style="7" customWidth="1"/>
    <col min="14" max="15" width="19.125" style="66" customWidth="1"/>
    <col min="16" max="16" width="17.875" style="7" customWidth="1"/>
    <col min="17" max="17" width="19.125" style="66" customWidth="1"/>
    <col min="18" max="18" width="19.125" style="67" customWidth="1"/>
    <col min="19" max="19" width="19.125" style="9" customWidth="1"/>
    <col min="20" max="20" width="11.125" style="11" customWidth="1"/>
  </cols>
  <sheetData>
    <row r="1" spans="1:20" ht="23.25">
      <c r="A1" s="311" t="s">
        <v>844</v>
      </c>
      <c r="E1" s="4"/>
      <c r="F1" s="3"/>
      <c r="G1" s="4"/>
      <c r="H1" s="5"/>
      <c r="I1" s="6"/>
      <c r="R1" s="70"/>
    </row>
    <row r="2" spans="1:20" ht="15">
      <c r="A2" s="130" t="s">
        <v>845</v>
      </c>
      <c r="B2" s="321" t="s">
        <v>847</v>
      </c>
      <c r="C2" s="14"/>
      <c r="D2" s="14"/>
      <c r="E2" s="14"/>
      <c r="F2" s="15"/>
      <c r="G2" s="16"/>
      <c r="H2" s="17"/>
      <c r="I2" s="17"/>
      <c r="J2" s="15"/>
      <c r="K2" s="15"/>
      <c r="L2" s="18"/>
      <c r="M2" s="15"/>
      <c r="N2" s="121"/>
      <c r="O2" s="121"/>
      <c r="P2" s="15"/>
      <c r="Q2" s="121"/>
      <c r="R2" s="123"/>
      <c r="S2" s="19"/>
      <c r="T2" s="10"/>
    </row>
    <row r="3" spans="1:20" ht="15">
      <c r="A3" s="22" t="s">
        <v>0</v>
      </c>
      <c r="B3" s="307">
        <v>0.24579999999999999</v>
      </c>
      <c r="C3" s="14"/>
      <c r="E3" s="14"/>
      <c r="F3" s="15"/>
      <c r="G3" s="14"/>
      <c r="H3" s="17"/>
      <c r="I3" s="17"/>
      <c r="J3" s="23"/>
      <c r="K3" s="15"/>
      <c r="L3" s="18"/>
      <c r="M3" s="24"/>
      <c r="N3" s="122"/>
      <c r="O3" s="122"/>
      <c r="P3" s="15"/>
      <c r="Q3" s="356"/>
      <c r="R3" s="34"/>
      <c r="S3" s="15"/>
      <c r="T3" s="10"/>
    </row>
    <row r="4" spans="1:20" ht="15">
      <c r="A4" s="12" t="s">
        <v>703</v>
      </c>
      <c r="B4" s="308">
        <v>293</v>
      </c>
      <c r="C4" s="15"/>
      <c r="D4" s="321"/>
      <c r="E4" s="321"/>
      <c r="F4" s="321"/>
      <c r="G4" s="321"/>
      <c r="H4" s="321"/>
      <c r="I4" s="321"/>
      <c r="J4" s="321"/>
      <c r="K4" s="321"/>
      <c r="L4" s="321"/>
      <c r="M4" s="321"/>
      <c r="N4" s="321"/>
      <c r="O4" s="321"/>
      <c r="P4" s="321"/>
      <c r="Q4" s="357"/>
      <c r="R4" s="357"/>
      <c r="S4" s="357"/>
      <c r="T4" s="10"/>
    </row>
    <row r="5" spans="1:20" s="306" customFormat="1" ht="71.25">
      <c r="A5" s="214" t="s">
        <v>2</v>
      </c>
      <c r="B5" s="213" t="s">
        <v>3</v>
      </c>
      <c r="C5" s="215" t="s">
        <v>846</v>
      </c>
      <c r="D5" s="215" t="s">
        <v>4</v>
      </c>
      <c r="E5" s="215" t="s">
        <v>716</v>
      </c>
      <c r="F5" s="201" t="s">
        <v>5</v>
      </c>
      <c r="G5" s="304" t="s">
        <v>6</v>
      </c>
      <c r="H5" s="304" t="s">
        <v>7</v>
      </c>
      <c r="I5" s="304" t="s">
        <v>8</v>
      </c>
      <c r="J5" s="215" t="s">
        <v>9</v>
      </c>
      <c r="K5" s="215" t="s">
        <v>10</v>
      </c>
      <c r="L5" s="215" t="s">
        <v>758</v>
      </c>
      <c r="M5" s="215" t="s">
        <v>759</v>
      </c>
      <c r="N5" s="201" t="s">
        <v>712</v>
      </c>
      <c r="O5" s="201" t="s">
        <v>715</v>
      </c>
      <c r="P5" s="213" t="s">
        <v>746</v>
      </c>
      <c r="Q5" s="213" t="s">
        <v>942</v>
      </c>
      <c r="R5" s="213" t="s">
        <v>743</v>
      </c>
      <c r="S5" s="305"/>
    </row>
    <row r="6" spans="1:20" s="31" customFormat="1" ht="15">
      <c r="A6" s="13"/>
      <c r="B6" s="13" t="s">
        <v>11</v>
      </c>
      <c r="C6" s="310">
        <f t="shared" ref="C6:K6" si="0">SUM(C7:C299)</f>
        <v>5573310</v>
      </c>
      <c r="D6" s="310">
        <f t="shared" si="0"/>
        <v>8336013722.0599976</v>
      </c>
      <c r="E6" s="310">
        <f t="shared" si="0"/>
        <v>2175645311.6012278</v>
      </c>
      <c r="F6" s="303">
        <f>SUM(F7:F299)</f>
        <v>10511659033.661222</v>
      </c>
      <c r="G6" s="508">
        <v>1422.47</v>
      </c>
      <c r="H6" s="310">
        <f t="shared" si="0"/>
        <v>7927866275.7000036</v>
      </c>
      <c r="I6" s="303">
        <f t="shared" si="0"/>
        <v>2583792757.9612265</v>
      </c>
      <c r="J6" s="310">
        <f>SUM(J7:J299)</f>
        <v>296213038.0966596</v>
      </c>
      <c r="K6" s="310">
        <f t="shared" si="0"/>
        <v>-516174066.90650958</v>
      </c>
      <c r="L6" s="303">
        <f>SUM(L7:L299)</f>
        <v>2363831729.1513777</v>
      </c>
      <c r="M6" s="310">
        <f>SUM(M7:M299)</f>
        <v>820911226.22319996</v>
      </c>
      <c r="N6" s="303">
        <f>SUM(N7:N375)</f>
        <v>3184742955.3745809</v>
      </c>
      <c r="O6" s="241">
        <f>SUM(O7:O375)</f>
        <v>540500000.00000083</v>
      </c>
      <c r="P6" s="371">
        <f>SUM(P7:P375)</f>
        <v>3725242955.3745847</v>
      </c>
      <c r="Q6" s="310">
        <f>SUM(Q7:Q375)</f>
        <v>19883304.764948469</v>
      </c>
      <c r="R6" s="341">
        <f>SUM(R7:R375)</f>
        <v>3745126260.1395316</v>
      </c>
      <c r="S6" s="30"/>
    </row>
    <row r="7" spans="1:20" ht="15">
      <c r="A7" s="32">
        <v>5</v>
      </c>
      <c r="B7" s="13" t="s">
        <v>12</v>
      </c>
      <c r="C7" s="15">
        <v>9113</v>
      </c>
      <c r="D7" s="15">
        <v>15070870.100000001</v>
      </c>
      <c r="E7" s="15">
        <v>2476274.2750579342</v>
      </c>
      <c r="F7" s="231">
        <f>Yhteenveto[[#This Row],[Ikärakenne, laskennallinen kustannus]]+Yhteenveto[[#This Row],[Muut laskennalliset kustannukset ]]</f>
        <v>17547144.375057936</v>
      </c>
      <c r="G7" s="508">
        <v>1422.47</v>
      </c>
      <c r="H7" s="17">
        <v>12962969.109999999</v>
      </c>
      <c r="I7" s="339">
        <f>Yhteenveto[[#This Row],[Laskennalliset kustannukset yhteensä]]-Yhteenveto[[#This Row],[Omarahoitusosuus, €]]</f>
        <v>4584175.2650579363</v>
      </c>
      <c r="J7" s="33">
        <v>635406.20362780418</v>
      </c>
      <c r="K7" s="34">
        <v>586111.19046765543</v>
      </c>
      <c r="L7" s="231">
        <f>Yhteenveto[[#This Row],[Valtionosuus omarahoitusosuuden jälkeen (välisumma)]]+Yhteenveto[[#This Row],[Lisäosat yhteensä]]+Yhteenveto[[#This Row],[Valtionosuuteen tehtävät vähennykset ja lisäykset, netto]]</f>
        <v>5805692.6591533963</v>
      </c>
      <c r="M7" s="34">
        <v>5348172.4636786459</v>
      </c>
      <c r="N7" s="303">
        <f>SUM(Yhteenveto[[#This Row],[Valtionosuus ennen verotuloihin perustuvaa valtionosuuden tasausta]]+Yhteenveto[[#This Row],[Verotuloihin perustuva valtionosuuden tasaus]])</f>
        <v>11153865.122832041</v>
      </c>
      <c r="O7" s="241">
        <v>1404565.9075820795</v>
      </c>
      <c r="P7" s="372">
        <f>SUM(Yhteenveto[[#This Row],[Kunnan  peruspalvelujen valtionosuus ]:[Veroperustemuutoksista johtuvien veromenetysten korvaus]])</f>
        <v>12558431.030414121</v>
      </c>
      <c r="Q7" s="34">
        <v>2028438.6079999993</v>
      </c>
      <c r="R7" s="341">
        <f>+Yhteenveto[[#This Row],[Kunnan  peruspalvelujen valtionosuus ]]+Yhteenveto[[#This Row],[Veroperustemuutoksista johtuvien veromenetysten korvaus]]+Yhteenveto[[#This Row],[Kotikuntakorvaus, netto (ei päivitetty)]]</f>
        <v>14586869.63841412</v>
      </c>
      <c r="S7" s="11"/>
      <c r="T7"/>
    </row>
    <row r="8" spans="1:20" ht="15">
      <c r="A8" s="32">
        <v>9</v>
      </c>
      <c r="B8" s="13" t="s">
        <v>13</v>
      </c>
      <c r="C8" s="15">
        <v>2437</v>
      </c>
      <c r="D8" s="15">
        <v>4534374.5</v>
      </c>
      <c r="E8" s="15">
        <v>589156.26547000743</v>
      </c>
      <c r="F8" s="231">
        <f>Yhteenveto[[#This Row],[Ikärakenne, laskennallinen kustannus]]+Yhteenveto[[#This Row],[Muut laskennalliset kustannukset ]]</f>
        <v>5123530.7654700074</v>
      </c>
      <c r="G8" s="508">
        <v>1422.47</v>
      </c>
      <c r="H8" s="17">
        <v>3466559.39</v>
      </c>
      <c r="I8" s="339">
        <f>Yhteenveto[[#This Row],[Laskennalliset kustannukset yhteensä]]-Yhteenveto[[#This Row],[Omarahoitusosuus, €]]</f>
        <v>1656971.3754700073</v>
      </c>
      <c r="J8" s="33">
        <v>75386.051873868069</v>
      </c>
      <c r="K8" s="34">
        <v>361048.2528402505</v>
      </c>
      <c r="L8" s="231">
        <f>Yhteenveto[[#This Row],[Valtionosuus omarahoitusosuuden jälkeen (välisumma)]]+Yhteenveto[[#This Row],[Lisäosat yhteensä]]+Yhteenveto[[#This Row],[Valtionosuuteen tehtävät vähennykset ja lisäykset, netto]]</f>
        <v>2093405.6801841259</v>
      </c>
      <c r="M8" s="34">
        <v>1795894.2196256553</v>
      </c>
      <c r="N8" s="303">
        <f>SUM(Yhteenveto[[#This Row],[Valtionosuus ennen verotuloihin perustuvaa valtionosuuden tasausta]]+Yhteenveto[[#This Row],[Verotuloihin perustuva valtionosuuden tasaus]])</f>
        <v>3889299.8998097815</v>
      </c>
      <c r="O8" s="241">
        <v>345643.48869660147</v>
      </c>
      <c r="P8" s="372">
        <f>SUM(Yhteenveto[[#This Row],[Kunnan  peruspalvelujen valtionosuus ]:[Veroperustemuutoksista johtuvien veromenetysten korvaus]])</f>
        <v>4234943.3885063827</v>
      </c>
      <c r="Q8" s="34">
        <v>83543.599999999977</v>
      </c>
      <c r="R8" s="341">
        <f>+Yhteenveto[[#This Row],[Kunnan  peruspalvelujen valtionosuus ]]+Yhteenveto[[#This Row],[Veroperustemuutoksista johtuvien veromenetysten korvaus]]+Yhteenveto[[#This Row],[Kotikuntakorvaus, netto (ei päivitetty)]]</f>
        <v>4318486.9885063823</v>
      </c>
      <c r="S8" s="11"/>
      <c r="T8"/>
    </row>
    <row r="9" spans="1:20" ht="15">
      <c r="A9" s="32">
        <v>10</v>
      </c>
      <c r="B9" s="13" t="s">
        <v>14</v>
      </c>
      <c r="C9" s="15">
        <v>10933</v>
      </c>
      <c r="D9" s="15">
        <v>17494179.359999999</v>
      </c>
      <c r="E9" s="15">
        <v>2594573.8689133064</v>
      </c>
      <c r="F9" s="231">
        <f>Yhteenveto[[#This Row],[Ikärakenne, laskennallinen kustannus]]+Yhteenveto[[#This Row],[Muut laskennalliset kustannukset ]]</f>
        <v>20088753.228913307</v>
      </c>
      <c r="G9" s="508">
        <v>1422.47</v>
      </c>
      <c r="H9" s="17">
        <v>15551864.51</v>
      </c>
      <c r="I9" s="339">
        <f>Yhteenveto[[#This Row],[Laskennalliset kustannukset yhteensä]]-Yhteenveto[[#This Row],[Omarahoitusosuus, €]]</f>
        <v>4536888.7189133074</v>
      </c>
      <c r="J9" s="33">
        <v>714170.80109446403</v>
      </c>
      <c r="K9" s="34">
        <v>-1736692.047430841</v>
      </c>
      <c r="L9" s="231">
        <f>Yhteenveto[[#This Row],[Valtionosuus omarahoitusosuuden jälkeen (välisumma)]]+Yhteenveto[[#This Row],[Lisäosat yhteensä]]+Yhteenveto[[#This Row],[Valtionosuuteen tehtävät vähennykset ja lisäykset, netto]]</f>
        <v>3514367.4725769302</v>
      </c>
      <c r="M9" s="34">
        <v>6749201.9643135257</v>
      </c>
      <c r="N9" s="303">
        <f>SUM(Yhteenveto[[#This Row],[Valtionosuus ennen verotuloihin perustuvaa valtionosuuden tasausta]]+Yhteenveto[[#This Row],[Verotuloihin perustuva valtionosuuden tasaus]])</f>
        <v>10263569.436890457</v>
      </c>
      <c r="O9" s="241">
        <v>1652895.6500283843</v>
      </c>
      <c r="P9" s="372">
        <f>SUM(Yhteenveto[[#This Row],[Kunnan  peruspalvelujen valtionosuus ]:[Veroperustemuutoksista johtuvien veromenetysten korvaus]])</f>
        <v>11916465.086918842</v>
      </c>
      <c r="Q9" s="34">
        <v>-46321.942500000005</v>
      </c>
      <c r="R9" s="341">
        <f>+Yhteenveto[[#This Row],[Kunnan  peruspalvelujen valtionosuus ]]+Yhteenveto[[#This Row],[Veroperustemuutoksista johtuvien veromenetysten korvaus]]+Yhteenveto[[#This Row],[Kotikuntakorvaus, netto (ei päivitetty)]]</f>
        <v>11870143.144418841</v>
      </c>
      <c r="S9" s="11"/>
      <c r="T9"/>
    </row>
    <row r="10" spans="1:20" ht="15">
      <c r="A10" s="32">
        <v>16</v>
      </c>
      <c r="B10" s="13" t="s">
        <v>15</v>
      </c>
      <c r="C10" s="15">
        <v>7968</v>
      </c>
      <c r="D10" s="15">
        <v>10648328.15</v>
      </c>
      <c r="E10" s="15">
        <v>2108804.1391687365</v>
      </c>
      <c r="F10" s="231">
        <f>Yhteenveto[[#This Row],[Ikärakenne, laskennallinen kustannus]]+Yhteenveto[[#This Row],[Muut laskennalliset kustannukset ]]</f>
        <v>12757132.289168738</v>
      </c>
      <c r="G10" s="508">
        <v>1422.47</v>
      </c>
      <c r="H10" s="17">
        <v>11334240.960000001</v>
      </c>
      <c r="I10" s="339">
        <f>Yhteenveto[[#This Row],[Laskennalliset kustannukset yhteensä]]-Yhteenveto[[#This Row],[Omarahoitusosuus, €]]</f>
        <v>1422891.3291687369</v>
      </c>
      <c r="J10" s="33">
        <v>237896.6961014322</v>
      </c>
      <c r="K10" s="34">
        <v>3579204.9065754307</v>
      </c>
      <c r="L10" s="231">
        <f>Yhteenveto[[#This Row],[Valtionosuus omarahoitusosuuden jälkeen (välisumma)]]+Yhteenveto[[#This Row],[Lisäosat yhteensä]]+Yhteenveto[[#This Row],[Valtionosuuteen tehtävät vähennykset ja lisäykset, netto]]</f>
        <v>5239992.9318455998</v>
      </c>
      <c r="M10" s="34">
        <v>2595073.0342583088</v>
      </c>
      <c r="N10" s="303">
        <f>SUM(Yhteenveto[[#This Row],[Valtionosuus ennen verotuloihin perustuvaa valtionosuuden tasausta]]+Yhteenveto[[#This Row],[Verotuloihin perustuva valtionosuuden tasaus]])</f>
        <v>7835065.9661039086</v>
      </c>
      <c r="O10" s="241">
        <v>976561.84154617251</v>
      </c>
      <c r="P10" s="372">
        <f>SUM(Yhteenveto[[#This Row],[Kunnan  peruspalvelujen valtionosuus ]:[Veroperustemuutoksista johtuvien veromenetysten korvaus]])</f>
        <v>8811627.8076500818</v>
      </c>
      <c r="Q10" s="34">
        <v>548329.46750000003</v>
      </c>
      <c r="R10" s="341">
        <f>+Yhteenveto[[#This Row],[Kunnan  peruspalvelujen valtionosuus ]]+Yhteenveto[[#This Row],[Veroperustemuutoksista johtuvien veromenetysten korvaus]]+Yhteenveto[[#This Row],[Kotikuntakorvaus, netto (ei päivitetty)]]</f>
        <v>9359957.2751500811</v>
      </c>
      <c r="S10" s="11"/>
      <c r="T10"/>
    </row>
    <row r="11" spans="1:20" ht="15">
      <c r="A11" s="32">
        <v>18</v>
      </c>
      <c r="B11" s="13" t="s">
        <v>16</v>
      </c>
      <c r="C11" s="15">
        <v>4700</v>
      </c>
      <c r="D11" s="15">
        <v>8305499.7000000002</v>
      </c>
      <c r="E11" s="15">
        <v>1002695.2556247833</v>
      </c>
      <c r="F11" s="231">
        <f>Yhteenveto[[#This Row],[Ikärakenne, laskennallinen kustannus]]+Yhteenveto[[#This Row],[Muut laskennalliset kustannukset ]]</f>
        <v>9308194.9556247834</v>
      </c>
      <c r="G11" s="508">
        <v>1422.47</v>
      </c>
      <c r="H11" s="17">
        <v>6685609</v>
      </c>
      <c r="I11" s="339">
        <f>Yhteenveto[[#This Row],[Laskennalliset kustannukset yhteensä]]-Yhteenveto[[#This Row],[Omarahoitusosuus, €]]</f>
        <v>2622585.9556247834</v>
      </c>
      <c r="J11" s="33">
        <v>108042.43201218927</v>
      </c>
      <c r="K11" s="34">
        <v>-1018843.0117272602</v>
      </c>
      <c r="L11" s="231">
        <f>Yhteenveto[[#This Row],[Valtionosuus omarahoitusosuuden jälkeen (välisumma)]]+Yhteenveto[[#This Row],[Lisäosat yhteensä]]+Yhteenveto[[#This Row],[Valtionosuuteen tehtävät vähennykset ja lisäykset, netto]]</f>
        <v>1711785.3759097124</v>
      </c>
      <c r="M11" s="34">
        <v>1204139.8348404381</v>
      </c>
      <c r="N11" s="303">
        <f>SUM(Yhteenveto[[#This Row],[Valtionosuus ennen verotuloihin perustuvaa valtionosuuden tasausta]]+Yhteenveto[[#This Row],[Verotuloihin perustuva valtionosuuden tasaus]])</f>
        <v>2915925.2107501505</v>
      </c>
      <c r="O11" s="241">
        <v>460974.09786803817</v>
      </c>
      <c r="P11" s="372">
        <f>SUM(Yhteenveto[[#This Row],[Kunnan  peruspalvelujen valtionosuus ]:[Veroperustemuutoksista johtuvien veromenetysten korvaus]])</f>
        <v>3376899.3086181888</v>
      </c>
      <c r="Q11" s="34">
        <v>393162.14900000003</v>
      </c>
      <c r="R11" s="341">
        <f>+Yhteenveto[[#This Row],[Kunnan  peruspalvelujen valtionosuus ]]+Yhteenveto[[#This Row],[Veroperustemuutoksista johtuvien veromenetysten korvaus]]+Yhteenveto[[#This Row],[Kotikuntakorvaus, netto (ei päivitetty)]]</f>
        <v>3770061.457618189</v>
      </c>
      <c r="S11" s="11"/>
      <c r="T11"/>
    </row>
    <row r="12" spans="1:20" ht="15">
      <c r="A12" s="32">
        <v>19</v>
      </c>
      <c r="B12" s="13" t="s">
        <v>17</v>
      </c>
      <c r="C12" s="15">
        <v>3961</v>
      </c>
      <c r="D12" s="15">
        <v>7066276.5999999996</v>
      </c>
      <c r="E12" s="15">
        <v>687351.96807385818</v>
      </c>
      <c r="F12" s="231">
        <f>Yhteenveto[[#This Row],[Ikärakenne, laskennallinen kustannus]]+Yhteenveto[[#This Row],[Muut laskennalliset kustannukset ]]</f>
        <v>7753628.5680738576</v>
      </c>
      <c r="G12" s="508">
        <v>1422.47</v>
      </c>
      <c r="H12" s="17">
        <v>5634403.6699999999</v>
      </c>
      <c r="I12" s="339">
        <f>Yhteenveto[[#This Row],[Laskennalliset kustannukset yhteensä]]-Yhteenveto[[#This Row],[Omarahoitusosuus, €]]</f>
        <v>2119224.8980738577</v>
      </c>
      <c r="J12" s="33">
        <v>86512.869669331936</v>
      </c>
      <c r="K12" s="34">
        <v>-1152624.8121241673</v>
      </c>
      <c r="L12" s="231">
        <f>Yhteenveto[[#This Row],[Valtionosuus omarahoitusosuuden jälkeen (välisumma)]]+Yhteenveto[[#This Row],[Lisäosat yhteensä]]+Yhteenveto[[#This Row],[Valtionosuuteen tehtävät vähennykset ja lisäykset, netto]]</f>
        <v>1053112.9556190225</v>
      </c>
      <c r="M12" s="34">
        <v>1540630.9264551725</v>
      </c>
      <c r="N12" s="303">
        <f>SUM(Yhteenveto[[#This Row],[Valtionosuus ennen verotuloihin perustuvaa valtionosuuden tasausta]]+Yhteenveto[[#This Row],[Verotuloihin perustuva valtionosuuden tasaus]])</f>
        <v>2593743.882074195</v>
      </c>
      <c r="O12" s="241">
        <v>333725.20042253559</v>
      </c>
      <c r="P12" s="372">
        <f>SUM(Yhteenveto[[#This Row],[Kunnan  peruspalvelujen valtionosuus ]:[Veroperustemuutoksista johtuvien veromenetysten korvaus]])</f>
        <v>2927469.0824967306</v>
      </c>
      <c r="Q12" s="34">
        <v>40279.949999999983</v>
      </c>
      <c r="R12" s="341">
        <f>+Yhteenveto[[#This Row],[Kunnan  peruspalvelujen valtionosuus ]]+Yhteenveto[[#This Row],[Veroperustemuutoksista johtuvien veromenetysten korvaus]]+Yhteenveto[[#This Row],[Kotikuntakorvaus, netto (ei päivitetty)]]</f>
        <v>2967749.0324967308</v>
      </c>
      <c r="S12" s="11"/>
      <c r="T12"/>
    </row>
    <row r="13" spans="1:20" ht="15">
      <c r="A13" s="32">
        <v>20</v>
      </c>
      <c r="B13" s="13" t="s">
        <v>18</v>
      </c>
      <c r="C13" s="15">
        <v>16405</v>
      </c>
      <c r="D13" s="15">
        <v>25582004.050000001</v>
      </c>
      <c r="E13" s="15">
        <v>3370025.311917285</v>
      </c>
      <c r="F13" s="231">
        <f>Yhteenveto[[#This Row],[Ikärakenne, laskennallinen kustannus]]+Yhteenveto[[#This Row],[Muut laskennalliset kustannukset ]]</f>
        <v>28952029.361917287</v>
      </c>
      <c r="G13" s="508">
        <v>1422.47</v>
      </c>
      <c r="H13" s="17">
        <v>23335620.350000001</v>
      </c>
      <c r="I13" s="339">
        <f>Yhteenveto[[#This Row],[Laskennalliset kustannukset yhteensä]]-Yhteenveto[[#This Row],[Omarahoitusosuus, €]]</f>
        <v>5616409.0119172856</v>
      </c>
      <c r="J13" s="33">
        <v>419278.10059879936</v>
      </c>
      <c r="K13" s="34">
        <v>-5900701.8859555442</v>
      </c>
      <c r="L13" s="231">
        <f>Yhteenveto[[#This Row],[Valtionosuus omarahoitusosuuden jälkeen (välisumma)]]+Yhteenveto[[#This Row],[Lisäosat yhteensä]]+Yhteenveto[[#This Row],[Valtionosuuteen tehtävät vähennykset ja lisäykset, netto]]</f>
        <v>134985.2265605405</v>
      </c>
      <c r="M13" s="34">
        <v>7282309.2406449104</v>
      </c>
      <c r="N13" s="303">
        <f>SUM(Yhteenveto[[#This Row],[Valtionosuus ennen verotuloihin perustuvaa valtionosuuden tasausta]]+Yhteenveto[[#This Row],[Verotuloihin perustuva valtionosuuden tasaus]])</f>
        <v>7417294.4672054509</v>
      </c>
      <c r="O13" s="241">
        <v>1382016.7520994565</v>
      </c>
      <c r="P13" s="372">
        <f>SUM(Yhteenveto[[#This Row],[Kunnan  peruspalvelujen valtionosuus ]:[Veroperustemuutoksista johtuvien veromenetysten korvaus]])</f>
        <v>8799311.2193049081</v>
      </c>
      <c r="Q13" s="34">
        <v>-585670.47299999988</v>
      </c>
      <c r="R13" s="341">
        <f>+Yhteenveto[[#This Row],[Kunnan  peruspalvelujen valtionosuus ]]+Yhteenveto[[#This Row],[Veroperustemuutoksista johtuvien veromenetysten korvaus]]+Yhteenveto[[#This Row],[Kotikuntakorvaus, netto (ei päivitetty)]]</f>
        <v>8213640.7463049078</v>
      </c>
      <c r="S13" s="11"/>
      <c r="T13"/>
    </row>
    <row r="14" spans="1:20" ht="15">
      <c r="A14" s="32">
        <v>46</v>
      </c>
      <c r="B14" s="13" t="s">
        <v>19</v>
      </c>
      <c r="C14" s="15">
        <v>1320</v>
      </c>
      <c r="D14" s="15">
        <v>1635582.74</v>
      </c>
      <c r="E14" s="15">
        <v>1029636.5623792366</v>
      </c>
      <c r="F14" s="231">
        <f>Yhteenveto[[#This Row],[Ikärakenne, laskennallinen kustannus]]+Yhteenveto[[#This Row],[Muut laskennalliset kustannukset ]]</f>
        <v>2665219.3023792366</v>
      </c>
      <c r="G14" s="508">
        <v>1422.47</v>
      </c>
      <c r="H14" s="17">
        <v>1877660.4000000001</v>
      </c>
      <c r="I14" s="339">
        <f>Yhteenveto[[#This Row],[Laskennalliset kustannukset yhteensä]]-Yhteenveto[[#This Row],[Omarahoitusosuus, €]]</f>
        <v>787558.90237923642</v>
      </c>
      <c r="J14" s="33">
        <v>203111.22455162881</v>
      </c>
      <c r="K14" s="34">
        <v>607083.78214512195</v>
      </c>
      <c r="L14" s="231">
        <f>Yhteenveto[[#This Row],[Valtionosuus omarahoitusosuuden jälkeen (välisumma)]]+Yhteenveto[[#This Row],[Lisäosat yhteensä]]+Yhteenveto[[#This Row],[Valtionosuuteen tehtävät vähennykset ja lisäykset, netto]]</f>
        <v>1597753.9090759871</v>
      </c>
      <c r="M14" s="34">
        <v>616679.86691371247</v>
      </c>
      <c r="N14" s="303">
        <f>SUM(Yhteenveto[[#This Row],[Valtionosuus ennen verotuloihin perustuvaa valtionosuuden tasausta]]+Yhteenveto[[#This Row],[Verotuloihin perustuva valtionosuuden tasaus]])</f>
        <v>2214433.7759896996</v>
      </c>
      <c r="O14" s="241">
        <v>230751.72466460743</v>
      </c>
      <c r="P14" s="372">
        <f>SUM(Yhteenveto[[#This Row],[Kunnan  peruspalvelujen valtionosuus ]:[Veroperustemuutoksista johtuvien veromenetysten korvaus]])</f>
        <v>2445185.5006543072</v>
      </c>
      <c r="Q14" s="34">
        <v>292551.78500000003</v>
      </c>
      <c r="R14" s="341">
        <f>+Yhteenveto[[#This Row],[Kunnan  peruspalvelujen valtionosuus ]]+Yhteenveto[[#This Row],[Veroperustemuutoksista johtuvien veromenetysten korvaus]]+Yhteenveto[[#This Row],[Kotikuntakorvaus, netto (ei päivitetty)]]</f>
        <v>2737737.2856543073</v>
      </c>
      <c r="S14" s="11"/>
      <c r="T14"/>
    </row>
    <row r="15" spans="1:20" ht="15">
      <c r="A15" s="32">
        <v>47</v>
      </c>
      <c r="B15" s="13" t="s">
        <v>20</v>
      </c>
      <c r="C15" s="15">
        <v>1771</v>
      </c>
      <c r="D15" s="15">
        <v>2155078.75</v>
      </c>
      <c r="E15" s="15">
        <v>1884040.9779676602</v>
      </c>
      <c r="F15" s="231">
        <f>Yhteenveto[[#This Row],[Ikärakenne, laskennallinen kustannus]]+Yhteenveto[[#This Row],[Muut laskennalliset kustannukset ]]</f>
        <v>4039119.7279676599</v>
      </c>
      <c r="G15" s="508">
        <v>1422.47</v>
      </c>
      <c r="H15" s="17">
        <v>2519194.37</v>
      </c>
      <c r="I15" s="339">
        <f>Yhteenveto[[#This Row],[Laskennalliset kustannukset yhteensä]]-Yhteenveto[[#This Row],[Omarahoitusosuus, €]]</f>
        <v>1519925.3579676598</v>
      </c>
      <c r="J15" s="33">
        <v>884251.46155443043</v>
      </c>
      <c r="K15" s="34">
        <v>351442.73403825198</v>
      </c>
      <c r="L15" s="231">
        <f>Yhteenveto[[#This Row],[Valtionosuus omarahoitusosuuden jälkeen (välisumma)]]+Yhteenveto[[#This Row],[Lisäosat yhteensä]]+Yhteenveto[[#This Row],[Valtionosuuteen tehtävät vähennykset ja lisäykset, netto]]</f>
        <v>2755619.5535603422</v>
      </c>
      <c r="M15" s="34">
        <v>537815.00968689646</v>
      </c>
      <c r="N15" s="303">
        <f>SUM(Yhteenveto[[#This Row],[Valtionosuus ennen verotuloihin perustuvaa valtionosuuden tasausta]]+Yhteenveto[[#This Row],[Verotuloihin perustuva valtionosuuden tasaus]])</f>
        <v>3293434.5632472388</v>
      </c>
      <c r="O15" s="241">
        <v>276385.18382295908</v>
      </c>
      <c r="P15" s="372">
        <f>SUM(Yhteenveto[[#This Row],[Kunnan  peruspalvelujen valtionosuus ]:[Veroperustemuutoksista johtuvien veromenetysten korvaus]])</f>
        <v>3569819.7470701979</v>
      </c>
      <c r="Q15" s="34">
        <v>-50722.9</v>
      </c>
      <c r="R15" s="341">
        <f>+Yhteenveto[[#This Row],[Kunnan  peruspalvelujen valtionosuus ]]+Yhteenveto[[#This Row],[Veroperustemuutoksista johtuvien veromenetysten korvaus]]+Yhteenveto[[#This Row],[Kotikuntakorvaus, netto (ei päivitetty)]]</f>
        <v>3519096.847070198</v>
      </c>
      <c r="S15" s="11"/>
      <c r="T15"/>
    </row>
    <row r="16" spans="1:20" ht="15">
      <c r="A16" s="32">
        <v>49</v>
      </c>
      <c r="B16" s="13" t="s">
        <v>21</v>
      </c>
      <c r="C16" s="15">
        <v>314024</v>
      </c>
      <c r="D16" s="15">
        <v>549829458.16999996</v>
      </c>
      <c r="E16" s="15">
        <v>191163378.32023245</v>
      </c>
      <c r="F16" s="231">
        <f>Yhteenveto[[#This Row],[Ikärakenne, laskennallinen kustannus]]+Yhteenveto[[#This Row],[Muut laskennalliset kustannukset ]]</f>
        <v>740992836.49023247</v>
      </c>
      <c r="G16" s="508">
        <v>1422.47</v>
      </c>
      <c r="H16" s="17">
        <v>446689719.28000003</v>
      </c>
      <c r="I16" s="339">
        <f>Yhteenveto[[#This Row],[Laskennalliset kustannukset yhteensä]]-Yhteenveto[[#This Row],[Omarahoitusosuus, €]]</f>
        <v>294303117.21023244</v>
      </c>
      <c r="J16" s="33">
        <v>18431521.78265322</v>
      </c>
      <c r="K16" s="34">
        <v>113614902.17854959</v>
      </c>
      <c r="L16" s="231">
        <f>Yhteenveto[[#This Row],[Valtionosuus omarahoitusosuuden jälkeen (välisumma)]]+Yhteenveto[[#This Row],[Lisäosat yhteensä]]+Yhteenveto[[#This Row],[Valtionosuuteen tehtävät vähennykset ja lisäykset, netto]]</f>
        <v>426349541.17143524</v>
      </c>
      <c r="M16" s="34">
        <v>-24490542.567243431</v>
      </c>
      <c r="N16" s="303">
        <f>SUM(Yhteenveto[[#This Row],[Valtionosuus ennen verotuloihin perustuvaa valtionosuuden tasausta]]+Yhteenveto[[#This Row],[Verotuloihin perustuva valtionosuuden tasaus]])</f>
        <v>401858998.60419178</v>
      </c>
      <c r="O16" s="241">
        <v>21807497.413012929</v>
      </c>
      <c r="P16" s="372">
        <f>SUM(Yhteenveto[[#This Row],[Kunnan  peruspalvelujen valtionosuus ]:[Veroperustemuutoksista johtuvien veromenetysten korvaus]])</f>
        <v>423666496.0172047</v>
      </c>
      <c r="Q16" s="34">
        <v>-14808746.087350003</v>
      </c>
      <c r="R16" s="341">
        <f>+Yhteenveto[[#This Row],[Kunnan  peruspalvelujen valtionosuus ]]+Yhteenveto[[#This Row],[Veroperustemuutoksista johtuvien veromenetysten korvaus]]+Yhteenveto[[#This Row],[Kotikuntakorvaus, netto (ei päivitetty)]]</f>
        <v>408857749.92985469</v>
      </c>
      <c r="S16" s="11"/>
      <c r="T16"/>
    </row>
    <row r="17" spans="1:20" ht="15">
      <c r="A17" s="32">
        <v>50</v>
      </c>
      <c r="B17" s="13" t="s">
        <v>22</v>
      </c>
      <c r="C17" s="15">
        <v>11184</v>
      </c>
      <c r="D17" s="15">
        <v>16335130.090000002</v>
      </c>
      <c r="E17" s="15">
        <v>2579149.4044190645</v>
      </c>
      <c r="F17" s="231">
        <f>Yhteenveto[[#This Row],[Ikärakenne, laskennallinen kustannus]]+Yhteenveto[[#This Row],[Muut laskennalliset kustannukset ]]</f>
        <v>18914279.494419068</v>
      </c>
      <c r="G17" s="508">
        <v>1422.47</v>
      </c>
      <c r="H17" s="17">
        <v>15908904.48</v>
      </c>
      <c r="I17" s="339">
        <f>Yhteenveto[[#This Row],[Laskennalliset kustannukset yhteensä]]-Yhteenveto[[#This Row],[Omarahoitusosuus, €]]</f>
        <v>3005375.0144190677</v>
      </c>
      <c r="J17" s="33">
        <v>267151.28523397126</v>
      </c>
      <c r="K17" s="34">
        <v>-2070293.3139430736</v>
      </c>
      <c r="L17" s="231">
        <f>Yhteenveto[[#This Row],[Valtionosuus omarahoitusosuuden jälkeen (välisumma)]]+Yhteenveto[[#This Row],[Lisäosat yhteensä]]+Yhteenveto[[#This Row],[Valtionosuuteen tehtävät vähennykset ja lisäykset, netto]]</f>
        <v>1202232.9857099652</v>
      </c>
      <c r="M17" s="34">
        <v>3520790.6717749699</v>
      </c>
      <c r="N17" s="303">
        <f>SUM(Yhteenveto[[#This Row],[Valtionosuus ennen verotuloihin perustuvaa valtionosuuden tasausta]]+Yhteenveto[[#This Row],[Verotuloihin perustuva valtionosuuden tasaus]])</f>
        <v>4723023.6574849356</v>
      </c>
      <c r="O17" s="241">
        <v>1250008.4398452472</v>
      </c>
      <c r="P17" s="372">
        <f>SUM(Yhteenveto[[#This Row],[Kunnan  peruspalvelujen valtionosuus ]:[Veroperustemuutoksista johtuvien veromenetysten korvaus]])</f>
        <v>5973032.0973301828</v>
      </c>
      <c r="Q17" s="34">
        <v>198416.04999999996</v>
      </c>
      <c r="R17" s="341">
        <f>+Yhteenveto[[#This Row],[Kunnan  peruspalvelujen valtionosuus ]]+Yhteenveto[[#This Row],[Veroperustemuutoksista johtuvien veromenetysten korvaus]]+Yhteenveto[[#This Row],[Kotikuntakorvaus, netto (ei päivitetty)]]</f>
        <v>6171448.1473301826</v>
      </c>
      <c r="S17" s="11"/>
      <c r="T17"/>
    </row>
    <row r="18" spans="1:20" ht="15">
      <c r="A18" s="32">
        <v>51</v>
      </c>
      <c r="B18" s="13" t="s">
        <v>23</v>
      </c>
      <c r="C18" s="15">
        <v>9143</v>
      </c>
      <c r="D18" s="15">
        <v>14774447.599999998</v>
      </c>
      <c r="E18" s="15">
        <v>1951783.1968970066</v>
      </c>
      <c r="F18" s="231">
        <f>Yhteenveto[[#This Row],[Ikärakenne, laskennallinen kustannus]]+Yhteenveto[[#This Row],[Muut laskennalliset kustannukset ]]</f>
        <v>16726230.796897005</v>
      </c>
      <c r="G18" s="508">
        <v>1422.47</v>
      </c>
      <c r="H18" s="17">
        <v>13005643.210000001</v>
      </c>
      <c r="I18" s="339">
        <f>Yhteenveto[[#This Row],[Laskennalliset kustannukset yhteensä]]-Yhteenveto[[#This Row],[Omarahoitusosuus, €]]</f>
        <v>3720587.5868970044</v>
      </c>
      <c r="J18" s="33">
        <v>288231.30023509165</v>
      </c>
      <c r="K18" s="34">
        <v>-9045420.4726146292</v>
      </c>
      <c r="L18" s="231">
        <f>Yhteenveto[[#This Row],[Valtionosuus omarahoitusosuuden jälkeen (välisumma)]]+Yhteenveto[[#This Row],[Lisäosat yhteensä]]+Yhteenveto[[#This Row],[Valtionosuuteen tehtävät vähennykset ja lisäykset, netto]]</f>
        <v>-5036601.5854825331</v>
      </c>
      <c r="M18" s="34">
        <v>-261106.00344567426</v>
      </c>
      <c r="N18" s="303">
        <f>SUM(Yhteenveto[[#This Row],[Valtionosuus ennen verotuloihin perustuvaa valtionosuuden tasausta]]+Yhteenveto[[#This Row],[Verotuloihin perustuva valtionosuuden tasaus]])</f>
        <v>-5297707.5889282078</v>
      </c>
      <c r="O18" s="241">
        <v>1439935.6171932002</v>
      </c>
      <c r="P18" s="372">
        <f>SUM(Yhteenveto[[#This Row],[Kunnan  peruspalvelujen valtionosuus ]:[Veroperustemuutoksista johtuvien veromenetysten korvaus]])</f>
        <v>-3857771.9717350076</v>
      </c>
      <c r="Q18" s="34">
        <v>-140114.55199999997</v>
      </c>
      <c r="R18" s="341">
        <f>+Yhteenveto[[#This Row],[Kunnan  peruspalvelujen valtionosuus ]]+Yhteenveto[[#This Row],[Veroperustemuutoksista johtuvien veromenetysten korvaus]]+Yhteenveto[[#This Row],[Kotikuntakorvaus, netto (ei päivitetty)]]</f>
        <v>-3997886.5237350077</v>
      </c>
      <c r="S18" s="11"/>
      <c r="T18"/>
    </row>
    <row r="19" spans="1:20" ht="15">
      <c r="A19" s="32">
        <v>52</v>
      </c>
      <c r="B19" s="13" t="s">
        <v>24</v>
      </c>
      <c r="C19" s="15">
        <v>2292</v>
      </c>
      <c r="D19" s="15">
        <v>3654175.8699999996</v>
      </c>
      <c r="E19" s="15">
        <v>638877.71569138183</v>
      </c>
      <c r="F19" s="231">
        <f>Yhteenveto[[#This Row],[Ikärakenne, laskennallinen kustannus]]+Yhteenveto[[#This Row],[Muut laskennalliset kustannukset ]]</f>
        <v>4293053.5856913812</v>
      </c>
      <c r="G19" s="508">
        <v>1422.47</v>
      </c>
      <c r="H19" s="17">
        <v>3260301.24</v>
      </c>
      <c r="I19" s="339">
        <f>Yhteenveto[[#This Row],[Laskennalliset kustannukset yhteensä]]-Yhteenveto[[#This Row],[Omarahoitusosuus, €]]</f>
        <v>1032752.345691381</v>
      </c>
      <c r="J19" s="33">
        <v>174535.91501479608</v>
      </c>
      <c r="K19" s="34">
        <v>400766.070799109</v>
      </c>
      <c r="L19" s="231">
        <f>Yhteenveto[[#This Row],[Valtionosuus omarahoitusosuuden jälkeen (välisumma)]]+Yhteenveto[[#This Row],[Lisäosat yhteensä]]+Yhteenveto[[#This Row],[Valtionosuuteen tehtävät vähennykset ja lisäykset, netto]]</f>
        <v>1608054.331505286</v>
      </c>
      <c r="M19" s="34">
        <v>1202291.6240274573</v>
      </c>
      <c r="N19" s="303">
        <f>SUM(Yhteenveto[[#This Row],[Valtionosuus ennen verotuloihin perustuvaa valtionosuuden tasausta]]+Yhteenveto[[#This Row],[Verotuloihin perustuva valtionosuuden tasaus]])</f>
        <v>2810345.9555327436</v>
      </c>
      <c r="O19" s="241">
        <v>370416.88681620744</v>
      </c>
      <c r="P19" s="372">
        <f>SUM(Yhteenveto[[#This Row],[Kunnan  peruspalvelujen valtionosuus ]:[Veroperustemuutoksista johtuvien veromenetysten korvaus]])</f>
        <v>3180762.8423489509</v>
      </c>
      <c r="Q19" s="34">
        <v>19394.050000000003</v>
      </c>
      <c r="R19" s="341">
        <f>+Yhteenveto[[#This Row],[Kunnan  peruspalvelujen valtionosuus ]]+Yhteenveto[[#This Row],[Veroperustemuutoksista johtuvien veromenetysten korvaus]]+Yhteenveto[[#This Row],[Kotikuntakorvaus, netto (ei päivitetty)]]</f>
        <v>3200156.8923489507</v>
      </c>
      <c r="S19" s="11"/>
      <c r="T19"/>
    </row>
    <row r="20" spans="1:20" ht="15">
      <c r="A20" s="32">
        <v>61</v>
      </c>
      <c r="B20" s="13" t="s">
        <v>25</v>
      </c>
      <c r="C20" s="15">
        <v>16469</v>
      </c>
      <c r="D20" s="15">
        <v>19439334.649999999</v>
      </c>
      <c r="E20" s="15">
        <v>5558980.0018551312</v>
      </c>
      <c r="F20" s="231">
        <f>Yhteenveto[[#This Row],[Ikärakenne, laskennallinen kustannus]]+Yhteenveto[[#This Row],[Muut laskennalliset kustannukset ]]</f>
        <v>24998314.65185513</v>
      </c>
      <c r="G20" s="508">
        <v>1422.47</v>
      </c>
      <c r="H20" s="17">
        <v>23426658.43</v>
      </c>
      <c r="I20" s="339">
        <f>Yhteenveto[[#This Row],[Laskennalliset kustannukset yhteensä]]-Yhteenveto[[#This Row],[Omarahoitusosuus, €]]</f>
        <v>1571656.22185513</v>
      </c>
      <c r="J20" s="33">
        <v>553050.67179450323</v>
      </c>
      <c r="K20" s="34">
        <v>788396.38265012042</v>
      </c>
      <c r="L20" s="231">
        <f>Yhteenveto[[#This Row],[Valtionosuus omarahoitusosuuden jälkeen (välisumma)]]+Yhteenveto[[#This Row],[Lisäosat yhteensä]]+Yhteenveto[[#This Row],[Valtionosuuteen tehtävät vähennykset ja lisäykset, netto]]</f>
        <v>2913103.2762997532</v>
      </c>
      <c r="M20" s="34">
        <v>5862527.7482205397</v>
      </c>
      <c r="N20" s="303">
        <f>SUM(Yhteenveto[[#This Row],[Valtionosuus ennen verotuloihin perustuvaa valtionosuuden tasausta]]+Yhteenveto[[#This Row],[Verotuloihin perustuva valtionosuuden tasaus]])</f>
        <v>8775631.0245202929</v>
      </c>
      <c r="O20" s="241">
        <v>2082710.4899480087</v>
      </c>
      <c r="P20" s="372">
        <f>SUM(Yhteenveto[[#This Row],[Kunnan  peruspalvelujen valtionosuus ]:[Veroperustemuutoksista johtuvien veromenetysten korvaus]])</f>
        <v>10858341.514468301</v>
      </c>
      <c r="Q20" s="34">
        <v>209246.88100000017</v>
      </c>
      <c r="R20" s="341">
        <f>+Yhteenveto[[#This Row],[Kunnan  peruspalvelujen valtionosuus ]]+Yhteenveto[[#This Row],[Veroperustemuutoksista johtuvien veromenetysten korvaus]]+Yhteenveto[[#This Row],[Kotikuntakorvaus, netto (ei päivitetty)]]</f>
        <v>11067588.395468302</v>
      </c>
      <c r="S20" s="11"/>
      <c r="T20"/>
    </row>
    <row r="21" spans="1:20" ht="15">
      <c r="A21" s="32">
        <v>69</v>
      </c>
      <c r="B21" s="13" t="s">
        <v>26</v>
      </c>
      <c r="C21" s="15">
        <v>6558</v>
      </c>
      <c r="D21" s="15">
        <v>11185790.139999999</v>
      </c>
      <c r="E21" s="15">
        <v>1698377.6637845985</v>
      </c>
      <c r="F21" s="231">
        <f>Yhteenveto[[#This Row],[Ikärakenne, laskennallinen kustannus]]+Yhteenveto[[#This Row],[Muut laskennalliset kustannukset ]]</f>
        <v>12884167.803784598</v>
      </c>
      <c r="G21" s="508">
        <v>1422.47</v>
      </c>
      <c r="H21" s="17">
        <v>9328558.2599999998</v>
      </c>
      <c r="I21" s="339">
        <f>Yhteenveto[[#This Row],[Laskennalliset kustannukset yhteensä]]-Yhteenveto[[#This Row],[Omarahoitusosuus, €]]</f>
        <v>3555609.5437845979</v>
      </c>
      <c r="J21" s="33">
        <v>540222.40990089928</v>
      </c>
      <c r="K21" s="34">
        <v>-4109641.469639631</v>
      </c>
      <c r="L21" s="231">
        <f>Yhteenveto[[#This Row],[Valtionosuus omarahoitusosuuden jälkeen (välisumma)]]+Yhteenveto[[#This Row],[Lisäosat yhteensä]]+Yhteenveto[[#This Row],[Valtionosuuteen tehtävät vähennykset ja lisäykset, netto]]</f>
        <v>-13809.515954134054</v>
      </c>
      <c r="M21" s="34">
        <v>3344917.0049182936</v>
      </c>
      <c r="N21" s="303">
        <f>SUM(Yhteenveto[[#This Row],[Valtionosuus ennen verotuloihin perustuvaa valtionosuuden tasausta]]+Yhteenveto[[#This Row],[Verotuloihin perustuva valtionosuuden tasaus]])</f>
        <v>3331107.4889641595</v>
      </c>
      <c r="O21" s="241">
        <v>827055.91126852017</v>
      </c>
      <c r="P21" s="372">
        <f>SUM(Yhteenveto[[#This Row],[Kunnan  peruspalvelujen valtionosuus ]:[Veroperustemuutoksista johtuvien veromenetysten korvaus]])</f>
        <v>4158163.4002326797</v>
      </c>
      <c r="Q21" s="34">
        <v>67774.745500000019</v>
      </c>
      <c r="R21" s="341">
        <f>+Yhteenveto[[#This Row],[Kunnan  peruspalvelujen valtionosuus ]]+Yhteenveto[[#This Row],[Veroperustemuutoksista johtuvien veromenetysten korvaus]]+Yhteenveto[[#This Row],[Kotikuntakorvaus, netto (ei päivitetty)]]</f>
        <v>4225938.1457326794</v>
      </c>
      <c r="S21" s="11"/>
      <c r="T21"/>
    </row>
    <row r="22" spans="1:20" ht="15">
      <c r="A22" s="32">
        <v>71</v>
      </c>
      <c r="B22" s="13" t="s">
        <v>27</v>
      </c>
      <c r="C22" s="15">
        <v>6473</v>
      </c>
      <c r="D22" s="15">
        <v>11949286.34</v>
      </c>
      <c r="E22" s="15">
        <v>2037381.6924728951</v>
      </c>
      <c r="F22" s="231">
        <f>Yhteenveto[[#This Row],[Ikärakenne, laskennallinen kustannus]]+Yhteenveto[[#This Row],[Muut laskennalliset kustannukset ]]</f>
        <v>13986668.032472895</v>
      </c>
      <c r="G22" s="508">
        <v>1422.47</v>
      </c>
      <c r="H22" s="17">
        <v>9207648.3100000005</v>
      </c>
      <c r="I22" s="339">
        <f>Yhteenveto[[#This Row],[Laskennalliset kustannukset yhteensä]]-Yhteenveto[[#This Row],[Omarahoitusosuus, €]]</f>
        <v>4779019.7224728949</v>
      </c>
      <c r="J22" s="33">
        <v>458685.8624775972</v>
      </c>
      <c r="K22" s="34">
        <v>-1458203.7199189595</v>
      </c>
      <c r="L22" s="231">
        <f>Yhteenveto[[#This Row],[Valtionosuus omarahoitusosuuden jälkeen (välisumma)]]+Yhteenveto[[#This Row],[Lisäosat yhteensä]]+Yhteenveto[[#This Row],[Valtionosuuteen tehtävät vähennykset ja lisäykset, netto]]</f>
        <v>3779501.865031532</v>
      </c>
      <c r="M22" s="34">
        <v>4033845.4697428844</v>
      </c>
      <c r="N22" s="303">
        <f>SUM(Yhteenveto[[#This Row],[Valtionosuus ennen verotuloihin perustuvaa valtionosuuden tasausta]]+Yhteenveto[[#This Row],[Verotuloihin perustuva valtionosuuden tasaus]])</f>
        <v>7813347.3347744159</v>
      </c>
      <c r="O22" s="241">
        <v>926900.77034833608</v>
      </c>
      <c r="P22" s="372">
        <f>SUM(Yhteenveto[[#This Row],[Kunnan  peruspalvelujen valtionosuus ]:[Veroperustemuutoksista johtuvien veromenetysten korvaus]])</f>
        <v>8740248.1051227525</v>
      </c>
      <c r="Q22" s="34">
        <v>-71757.984999999957</v>
      </c>
      <c r="R22" s="341">
        <f>+Yhteenveto[[#This Row],[Kunnan  peruspalvelujen valtionosuus ]]+Yhteenveto[[#This Row],[Veroperustemuutoksista johtuvien veromenetysten korvaus]]+Yhteenveto[[#This Row],[Kotikuntakorvaus, netto (ei päivitetty)]]</f>
        <v>8668490.1201227531</v>
      </c>
      <c r="S22" s="11"/>
      <c r="T22"/>
    </row>
    <row r="23" spans="1:20" ht="15">
      <c r="A23" s="32">
        <v>72</v>
      </c>
      <c r="B23" s="13" t="s">
        <v>28</v>
      </c>
      <c r="C23" s="15">
        <v>948</v>
      </c>
      <c r="D23" s="15">
        <v>1172190.2</v>
      </c>
      <c r="E23" s="15">
        <v>1457581.2021926655</v>
      </c>
      <c r="F23" s="231">
        <f>Yhteenveto[[#This Row],[Ikärakenne, laskennallinen kustannus]]+Yhteenveto[[#This Row],[Muut laskennalliset kustannukset ]]</f>
        <v>2629771.4021926653</v>
      </c>
      <c r="G23" s="508">
        <v>1422.47</v>
      </c>
      <c r="H23" s="17">
        <v>1348501.56</v>
      </c>
      <c r="I23" s="339">
        <f>Yhteenveto[[#This Row],[Laskennalliset kustannukset yhteensä]]-Yhteenveto[[#This Row],[Omarahoitusosuus, €]]</f>
        <v>1281269.8421926652</v>
      </c>
      <c r="J23" s="33">
        <v>87003.934685037704</v>
      </c>
      <c r="K23" s="34">
        <v>-267656.84721239493</v>
      </c>
      <c r="L23" s="231">
        <f>Yhteenveto[[#This Row],[Valtionosuus omarahoitusosuuden jälkeen (välisumma)]]+Yhteenveto[[#This Row],[Lisäosat yhteensä]]+Yhteenveto[[#This Row],[Valtionosuuteen tehtävät vähennykset ja lisäykset, netto]]</f>
        <v>1100616.929665308</v>
      </c>
      <c r="M23" s="34">
        <v>305293.6496114395</v>
      </c>
      <c r="N23" s="303">
        <f>SUM(Yhteenveto[[#This Row],[Valtionosuus ennen verotuloihin perustuvaa valtionosuuden tasausta]]+Yhteenveto[[#This Row],[Verotuloihin perustuva valtionosuuden tasaus]])</f>
        <v>1405910.5792767475</v>
      </c>
      <c r="O23" s="241">
        <v>120432.8343300565</v>
      </c>
      <c r="P23" s="372">
        <f>SUM(Yhteenveto[[#This Row],[Kunnan  peruspalvelujen valtionosuus ]:[Veroperustemuutoksista johtuvien veromenetysten korvaus]])</f>
        <v>1526343.4136068041</v>
      </c>
      <c r="Q23" s="34">
        <v>4475.5500000000011</v>
      </c>
      <c r="R23" s="341">
        <f>+Yhteenveto[[#This Row],[Kunnan  peruspalvelujen valtionosuus ]]+Yhteenveto[[#This Row],[Veroperustemuutoksista johtuvien veromenetysten korvaus]]+Yhteenveto[[#This Row],[Kotikuntakorvaus, netto (ei päivitetty)]]</f>
        <v>1530818.9636068041</v>
      </c>
      <c r="S23" s="11"/>
      <c r="T23"/>
    </row>
    <row r="24" spans="1:20" ht="15">
      <c r="A24" s="32">
        <v>74</v>
      </c>
      <c r="B24" s="13" t="s">
        <v>29</v>
      </c>
      <c r="C24" s="15">
        <v>1013</v>
      </c>
      <c r="D24" s="15">
        <v>1364953.14</v>
      </c>
      <c r="E24" s="15">
        <v>551127.2389706145</v>
      </c>
      <c r="F24" s="231">
        <f>Yhteenveto[[#This Row],[Ikärakenne, laskennallinen kustannus]]+Yhteenveto[[#This Row],[Muut laskennalliset kustannukset ]]</f>
        <v>1916080.3789706144</v>
      </c>
      <c r="G24" s="508">
        <v>1422.47</v>
      </c>
      <c r="H24" s="17">
        <v>1440962.11</v>
      </c>
      <c r="I24" s="339">
        <f>Yhteenveto[[#This Row],[Laskennalliset kustannukset yhteensä]]-Yhteenveto[[#This Row],[Omarahoitusosuus, €]]</f>
        <v>475118.2689706143</v>
      </c>
      <c r="J24" s="33">
        <v>163972.30771945365</v>
      </c>
      <c r="K24" s="34">
        <v>150635.77528651213</v>
      </c>
      <c r="L24" s="231">
        <f>Yhteenveto[[#This Row],[Valtionosuus omarahoitusosuuden jälkeen (välisumma)]]+Yhteenveto[[#This Row],[Lisäosat yhteensä]]+Yhteenveto[[#This Row],[Valtionosuuteen tehtävät vähennykset ja lisäykset, netto]]</f>
        <v>789726.3519765801</v>
      </c>
      <c r="M24" s="34">
        <v>583187.76691532147</v>
      </c>
      <c r="N24" s="303">
        <f>SUM(Yhteenveto[[#This Row],[Valtionosuus ennen verotuloihin perustuvaa valtionosuuden tasausta]]+Yhteenveto[[#This Row],[Verotuloihin perustuva valtionosuuden tasaus]])</f>
        <v>1372914.1188919016</v>
      </c>
      <c r="O24" s="241">
        <v>205117.87745050428</v>
      </c>
      <c r="P24" s="372">
        <f>SUM(Yhteenveto[[#This Row],[Kunnan  peruspalvelujen valtionosuus ]:[Veroperustemuutoksista johtuvien veromenetysten korvaus]])</f>
        <v>1578031.9963424059</v>
      </c>
      <c r="Q24" s="34">
        <v>49231.05</v>
      </c>
      <c r="R24" s="341">
        <f>+Yhteenveto[[#This Row],[Kunnan  peruspalvelujen valtionosuus ]]+Yhteenveto[[#This Row],[Veroperustemuutoksista johtuvien veromenetysten korvaus]]+Yhteenveto[[#This Row],[Kotikuntakorvaus, netto (ei päivitetty)]]</f>
        <v>1627263.046342406</v>
      </c>
      <c r="S24" s="11"/>
      <c r="T24"/>
    </row>
    <row r="25" spans="1:20" ht="15">
      <c r="A25" s="32">
        <v>75</v>
      </c>
      <c r="B25" s="13" t="s">
        <v>30</v>
      </c>
      <c r="C25" s="15">
        <v>19534</v>
      </c>
      <c r="D25" s="15">
        <v>24612466.440000001</v>
      </c>
      <c r="E25" s="15">
        <v>6511713.8346065842</v>
      </c>
      <c r="F25" s="231">
        <f>Yhteenveto[[#This Row],[Ikärakenne, laskennallinen kustannus]]+Yhteenveto[[#This Row],[Muut laskennalliset kustannukset ]]</f>
        <v>31124180.274606586</v>
      </c>
      <c r="G25" s="508">
        <v>1422.47</v>
      </c>
      <c r="H25" s="17">
        <v>27786528.98</v>
      </c>
      <c r="I25" s="339">
        <f>Yhteenveto[[#This Row],[Laskennalliset kustannukset yhteensä]]-Yhteenveto[[#This Row],[Omarahoitusosuus, €]]</f>
        <v>3337651.2946065851</v>
      </c>
      <c r="J25" s="33">
        <v>600665.48049084411</v>
      </c>
      <c r="K25" s="34">
        <v>-5385178.7233959883</v>
      </c>
      <c r="L25" s="231">
        <f>Yhteenveto[[#This Row],[Valtionosuus omarahoitusosuuden jälkeen (välisumma)]]+Yhteenveto[[#This Row],[Lisäosat yhteensä]]+Yhteenveto[[#This Row],[Valtionosuuteen tehtävät vähennykset ja lisäykset, netto]]</f>
        <v>-1446861.9482985591</v>
      </c>
      <c r="M25" s="34">
        <v>-93575.418511320619</v>
      </c>
      <c r="N25" s="303">
        <f>SUM(Yhteenveto[[#This Row],[Valtionosuus ennen verotuloihin perustuvaa valtionosuuden tasausta]]+Yhteenveto[[#This Row],[Verotuloihin perustuva valtionosuuden tasaus]])</f>
        <v>-1540437.3668098797</v>
      </c>
      <c r="O25" s="241">
        <v>1860351.7809593873</v>
      </c>
      <c r="P25" s="372">
        <f>SUM(Yhteenveto[[#This Row],[Kunnan  peruspalvelujen valtionosuus ]:[Veroperustemuutoksista johtuvien veromenetysten korvaus]])</f>
        <v>319914.41414950765</v>
      </c>
      <c r="Q25" s="34">
        <v>-20404.032450000057</v>
      </c>
      <c r="R25" s="341">
        <f>+Yhteenveto[[#This Row],[Kunnan  peruspalvelujen valtionosuus ]]+Yhteenveto[[#This Row],[Veroperustemuutoksista johtuvien veromenetysten korvaus]]+Yhteenveto[[#This Row],[Kotikuntakorvaus, netto (ei päivitetty)]]</f>
        <v>299510.38169950759</v>
      </c>
      <c r="S25" s="11"/>
      <c r="T25"/>
    </row>
    <row r="26" spans="1:20" ht="15">
      <c r="A26" s="32">
        <v>77</v>
      </c>
      <c r="B26" s="13" t="s">
        <v>31</v>
      </c>
      <c r="C26" s="15">
        <v>4549</v>
      </c>
      <c r="D26" s="15">
        <v>6204236.5900000008</v>
      </c>
      <c r="E26" s="15">
        <v>1339164.2692172821</v>
      </c>
      <c r="F26" s="231">
        <f>Yhteenveto[[#This Row],[Ikärakenne, laskennallinen kustannus]]+Yhteenveto[[#This Row],[Muut laskennalliset kustannukset ]]</f>
        <v>7543400.8592172824</v>
      </c>
      <c r="G26" s="508">
        <v>1422.47</v>
      </c>
      <c r="H26" s="17">
        <v>6470816.0300000003</v>
      </c>
      <c r="I26" s="339">
        <f>Yhteenveto[[#This Row],[Laskennalliset kustannukset yhteensä]]-Yhteenveto[[#This Row],[Omarahoitusosuus, €]]</f>
        <v>1072584.8292172821</v>
      </c>
      <c r="J26" s="33">
        <v>318997.25441141351</v>
      </c>
      <c r="K26" s="34">
        <v>-760537.17623786977</v>
      </c>
      <c r="L26" s="231">
        <f>Yhteenveto[[#This Row],[Valtionosuus omarahoitusosuuden jälkeen (välisumma)]]+Yhteenveto[[#This Row],[Lisäosat yhteensä]]+Yhteenveto[[#This Row],[Valtionosuuteen tehtävät vähennykset ja lisäykset, netto]]</f>
        <v>631044.90739082592</v>
      </c>
      <c r="M26" s="34">
        <v>2860307.2577345767</v>
      </c>
      <c r="N26" s="303">
        <f>SUM(Yhteenveto[[#This Row],[Valtionosuus ennen verotuloihin perustuvaa valtionosuuden tasausta]]+Yhteenveto[[#This Row],[Verotuloihin perustuva valtionosuuden tasaus]])</f>
        <v>3491352.1651254026</v>
      </c>
      <c r="O26" s="241">
        <v>770982.76481095259</v>
      </c>
      <c r="P26" s="372">
        <f>SUM(Yhteenveto[[#This Row],[Kunnan  peruspalvelujen valtionosuus ]:[Veroperustemuutoksista johtuvien veromenetysten korvaus]])</f>
        <v>4262334.929936355</v>
      </c>
      <c r="Q26" s="34">
        <v>47008.193499999994</v>
      </c>
      <c r="R26" s="341">
        <f>+Yhteenveto[[#This Row],[Kunnan  peruspalvelujen valtionosuus ]]+Yhteenveto[[#This Row],[Veroperustemuutoksista johtuvien veromenetysten korvaus]]+Yhteenveto[[#This Row],[Kotikuntakorvaus, netto (ei päivitetty)]]</f>
        <v>4309343.123436355</v>
      </c>
      <c r="S26" s="11"/>
      <c r="T26"/>
    </row>
    <row r="27" spans="1:20" ht="15">
      <c r="A27" s="32">
        <v>78</v>
      </c>
      <c r="B27" s="13" t="s">
        <v>32</v>
      </c>
      <c r="C27" s="15">
        <v>7721</v>
      </c>
      <c r="D27" s="15">
        <v>8960288.5900000017</v>
      </c>
      <c r="E27" s="15">
        <v>3157155.1488155276</v>
      </c>
      <c r="F27" s="231">
        <f>Yhteenveto[[#This Row],[Ikärakenne, laskennallinen kustannus]]+Yhteenveto[[#This Row],[Muut laskennalliset kustannukset ]]</f>
        <v>12117443.738815529</v>
      </c>
      <c r="G27" s="508">
        <v>1422.47</v>
      </c>
      <c r="H27" s="17">
        <v>10982890.870000001</v>
      </c>
      <c r="I27" s="339">
        <f>Yhteenveto[[#This Row],[Laskennalliset kustannukset yhteensä]]-Yhteenveto[[#This Row],[Omarahoitusosuus, €]]</f>
        <v>1134552.8688155282</v>
      </c>
      <c r="J27" s="33">
        <v>744881.79090796784</v>
      </c>
      <c r="K27" s="34">
        <v>-3490473.390728191</v>
      </c>
      <c r="L27" s="231">
        <f>Yhteenveto[[#This Row],[Valtionosuus omarahoitusosuuden jälkeen (välisumma)]]+Yhteenveto[[#This Row],[Lisäosat yhteensä]]+Yhteenveto[[#This Row],[Valtionosuuteen tehtävät vähennykset ja lisäykset, netto]]</f>
        <v>-1611038.7310046949</v>
      </c>
      <c r="M27" s="34">
        <v>-94528.224995841956</v>
      </c>
      <c r="N27" s="303">
        <f>SUM(Yhteenveto[[#This Row],[Valtionosuus ennen verotuloihin perustuvaa valtionosuuden tasausta]]+Yhteenveto[[#This Row],[Verotuloihin perustuva valtionosuuden tasaus]])</f>
        <v>-1705566.9560005369</v>
      </c>
      <c r="O27" s="241">
        <v>707267.57599967765</v>
      </c>
      <c r="P27" s="372">
        <f>SUM(Yhteenveto[[#This Row],[Kunnan  peruspalvelujen valtionosuus ]:[Veroperustemuutoksista johtuvien veromenetysten korvaus]])</f>
        <v>-998299.38000085927</v>
      </c>
      <c r="Q27" s="34">
        <v>7981.397500000021</v>
      </c>
      <c r="R27" s="341">
        <f>+Yhteenveto[[#This Row],[Kunnan  peruspalvelujen valtionosuus ]]+Yhteenveto[[#This Row],[Veroperustemuutoksista johtuvien veromenetysten korvaus]]+Yhteenveto[[#This Row],[Kotikuntakorvaus, netto (ei päivitetty)]]</f>
        <v>-990317.9825008593</v>
      </c>
      <c r="S27" s="11"/>
      <c r="T27"/>
    </row>
    <row r="28" spans="1:20" ht="15">
      <c r="A28" s="32">
        <v>79</v>
      </c>
      <c r="B28" s="13" t="s">
        <v>33</v>
      </c>
      <c r="C28" s="15">
        <v>6703</v>
      </c>
      <c r="D28" s="15">
        <v>8875673.6500000004</v>
      </c>
      <c r="E28" s="15">
        <v>1728279.9421043359</v>
      </c>
      <c r="F28" s="231">
        <f>Yhteenveto[[#This Row],[Ikärakenne, laskennallinen kustannus]]+Yhteenveto[[#This Row],[Muut laskennalliset kustannukset ]]</f>
        <v>10603953.592104336</v>
      </c>
      <c r="G28" s="508">
        <v>1422.47</v>
      </c>
      <c r="H28" s="17">
        <v>9534816.4100000001</v>
      </c>
      <c r="I28" s="339">
        <f>Yhteenveto[[#This Row],[Laskennalliset kustannukset yhteensä]]-Yhteenveto[[#This Row],[Omarahoitusosuus, €]]</f>
        <v>1069137.1821043361</v>
      </c>
      <c r="J28" s="33">
        <v>247604.22880519379</v>
      </c>
      <c r="K28" s="34">
        <v>-2276873.9804034093</v>
      </c>
      <c r="L28" s="231">
        <f>Yhteenveto[[#This Row],[Valtionosuus omarahoitusosuuden jälkeen (välisumma)]]+Yhteenveto[[#This Row],[Lisäosat yhteensä]]+Yhteenveto[[#This Row],[Valtionosuuteen tehtävät vähennykset ja lisäykset, netto]]</f>
        <v>-960132.56949387956</v>
      </c>
      <c r="M28" s="34">
        <v>-304540.91984722798</v>
      </c>
      <c r="N28" s="303">
        <f>SUM(Yhteenveto[[#This Row],[Valtionosuus ennen verotuloihin perustuvaa valtionosuuden tasausta]]+Yhteenveto[[#This Row],[Verotuloihin perustuva valtionosuuden tasaus]])</f>
        <v>-1264673.4893411077</v>
      </c>
      <c r="O28" s="241">
        <v>645421.0824011364</v>
      </c>
      <c r="P28" s="372">
        <f>SUM(Yhteenveto[[#This Row],[Kunnan  peruspalvelujen valtionosuus ]:[Veroperustemuutoksista johtuvien veromenetysten korvaus]])</f>
        <v>-619252.40693997126</v>
      </c>
      <c r="Q28" s="34">
        <v>-53855.785000000033</v>
      </c>
      <c r="R28" s="341">
        <f>+Yhteenveto[[#This Row],[Kunnan  peruspalvelujen valtionosuus ]]+Yhteenveto[[#This Row],[Veroperustemuutoksista johtuvien veromenetysten korvaus]]+Yhteenveto[[#This Row],[Kotikuntakorvaus, netto (ei päivitetty)]]</f>
        <v>-673108.19193997129</v>
      </c>
      <c r="S28" s="11"/>
      <c r="T28"/>
    </row>
    <row r="29" spans="1:20" ht="15">
      <c r="A29" s="32">
        <v>81</v>
      </c>
      <c r="B29" s="13" t="s">
        <v>34</v>
      </c>
      <c r="C29" s="15">
        <v>2531</v>
      </c>
      <c r="D29" s="15">
        <v>2302735.6599999997</v>
      </c>
      <c r="E29" s="15">
        <v>1023887.6304947457</v>
      </c>
      <c r="F29" s="231">
        <f>Yhteenveto[[#This Row],[Ikärakenne, laskennallinen kustannus]]+Yhteenveto[[#This Row],[Muut laskennalliset kustannukset ]]</f>
        <v>3326623.2904947456</v>
      </c>
      <c r="G29" s="508">
        <v>1422.47</v>
      </c>
      <c r="H29" s="17">
        <v>3600271.5700000003</v>
      </c>
      <c r="I29" s="339">
        <f>Yhteenveto[[#This Row],[Laskennalliset kustannukset yhteensä]]-Yhteenveto[[#This Row],[Omarahoitusosuus, €]]</f>
        <v>-273648.2795052547</v>
      </c>
      <c r="J29" s="33">
        <v>327328.68794209923</v>
      </c>
      <c r="K29" s="34">
        <v>-179226.6032130513</v>
      </c>
      <c r="L29" s="231">
        <f>Yhteenveto[[#This Row],[Valtionosuus omarahoitusosuuden jälkeen (välisumma)]]+Yhteenveto[[#This Row],[Lisäosat yhteensä]]+Yhteenveto[[#This Row],[Valtionosuuteen tehtävät vähennykset ja lisäykset, netto]]</f>
        <v>-125546.19477620677</v>
      </c>
      <c r="M29" s="34">
        <v>691041.27905261517</v>
      </c>
      <c r="N29" s="303">
        <f>SUM(Yhteenveto[[#This Row],[Valtionosuus ennen verotuloihin perustuvaa valtionosuuden tasausta]]+Yhteenveto[[#This Row],[Verotuloihin perustuva valtionosuuden tasaus]])</f>
        <v>565495.08427640842</v>
      </c>
      <c r="O29" s="241">
        <v>493619.11126025079</v>
      </c>
      <c r="P29" s="372">
        <f>SUM(Yhteenveto[[#This Row],[Kunnan  peruspalvelujen valtionosuus ]:[Veroperustemuutoksista johtuvien veromenetysten korvaus]])</f>
        <v>1059114.1955366591</v>
      </c>
      <c r="Q29" s="34">
        <v>-159627.95000000004</v>
      </c>
      <c r="R29" s="341">
        <f>+Yhteenveto[[#This Row],[Kunnan  peruspalvelujen valtionosuus ]]+Yhteenveto[[#This Row],[Veroperustemuutoksista johtuvien veromenetysten korvaus]]+Yhteenveto[[#This Row],[Kotikuntakorvaus, netto (ei päivitetty)]]</f>
        <v>899486.24553665903</v>
      </c>
      <c r="S29" s="11"/>
      <c r="T29"/>
    </row>
    <row r="30" spans="1:20" ht="15">
      <c r="A30" s="32">
        <v>82</v>
      </c>
      <c r="B30" s="36" t="s">
        <v>35</v>
      </c>
      <c r="C30" s="15">
        <v>9371</v>
      </c>
      <c r="D30" s="15">
        <v>15129854.129999999</v>
      </c>
      <c r="E30" s="15">
        <v>1552756.595396209</v>
      </c>
      <c r="F30" s="231">
        <f>Yhteenveto[[#This Row],[Ikärakenne, laskennallinen kustannus]]+Yhteenveto[[#This Row],[Muut laskennalliset kustannukset ]]</f>
        <v>16682610.725396208</v>
      </c>
      <c r="G30" s="508">
        <v>1422.47</v>
      </c>
      <c r="H30" s="17">
        <v>13329966.370000001</v>
      </c>
      <c r="I30" s="339">
        <f>Yhteenveto[[#This Row],[Laskennalliset kustannukset yhteensä]]-Yhteenveto[[#This Row],[Omarahoitusosuus, €]]</f>
        <v>3352644.3553962074</v>
      </c>
      <c r="J30" s="33">
        <v>262936.4048954107</v>
      </c>
      <c r="K30" s="34">
        <v>11620.697050229006</v>
      </c>
      <c r="L30" s="231">
        <f>Yhteenveto[[#This Row],[Valtionosuus omarahoitusosuuden jälkeen (välisumma)]]+Yhteenveto[[#This Row],[Lisäosat yhteensä]]+Yhteenveto[[#This Row],[Valtionosuuteen tehtävät vähennykset ja lisäykset, netto]]</f>
        <v>3627201.4573418475</v>
      </c>
      <c r="M30" s="34">
        <v>594586.80722953891</v>
      </c>
      <c r="N30" s="303">
        <f>SUM(Yhteenveto[[#This Row],[Valtionosuus ennen verotuloihin perustuvaa valtionosuuden tasausta]]+Yhteenveto[[#This Row],[Verotuloihin perustuva valtionosuuden tasaus]])</f>
        <v>4221788.2645713864</v>
      </c>
      <c r="O30" s="241">
        <v>785487.6418514651</v>
      </c>
      <c r="P30" s="372">
        <f>SUM(Yhteenveto[[#This Row],[Kunnan  peruspalvelujen valtionosuus ]:[Veroperustemuutoksista johtuvien veromenetysten korvaus]])</f>
        <v>5007275.9064228516</v>
      </c>
      <c r="Q30" s="34">
        <v>125210.97049999997</v>
      </c>
      <c r="R30" s="341">
        <f>+Yhteenveto[[#This Row],[Kunnan  peruspalvelujen valtionosuus ]]+Yhteenveto[[#This Row],[Veroperustemuutoksista johtuvien veromenetysten korvaus]]+Yhteenveto[[#This Row],[Kotikuntakorvaus, netto (ei päivitetty)]]</f>
        <v>5132486.8769228514</v>
      </c>
      <c r="S30" s="11"/>
      <c r="T30"/>
    </row>
    <row r="31" spans="1:20" ht="15">
      <c r="A31" s="32">
        <v>86</v>
      </c>
      <c r="B31" s="13" t="s">
        <v>36</v>
      </c>
      <c r="C31" s="15">
        <v>7998</v>
      </c>
      <c r="D31" s="15">
        <v>12849775.770000001</v>
      </c>
      <c r="E31" s="15">
        <v>1685335.1166130605</v>
      </c>
      <c r="F31" s="231">
        <f>Yhteenveto[[#This Row],[Ikärakenne, laskennallinen kustannus]]+Yhteenveto[[#This Row],[Muut laskennalliset kustannukset ]]</f>
        <v>14535110.886613062</v>
      </c>
      <c r="G31" s="508">
        <v>1422.47</v>
      </c>
      <c r="H31" s="17">
        <v>11376915.060000001</v>
      </c>
      <c r="I31" s="339">
        <f>Yhteenveto[[#This Row],[Laskennalliset kustannukset yhteensä]]-Yhteenveto[[#This Row],[Omarahoitusosuus, €]]</f>
        <v>3158195.8266130611</v>
      </c>
      <c r="J31" s="33">
        <v>189083.30839350433</v>
      </c>
      <c r="K31" s="34">
        <v>-1115168.830710737</v>
      </c>
      <c r="L31" s="231">
        <f>Yhteenveto[[#This Row],[Valtionosuus omarahoitusosuuden jälkeen (välisumma)]]+Yhteenveto[[#This Row],[Lisäosat yhteensä]]+Yhteenveto[[#This Row],[Valtionosuuteen tehtävät vähennykset ja lisäykset, netto]]</f>
        <v>2232110.3042958286</v>
      </c>
      <c r="M31" s="34">
        <v>2695203.9715878326</v>
      </c>
      <c r="N31" s="303">
        <f>SUM(Yhteenveto[[#This Row],[Valtionosuus ennen verotuloihin perustuvaa valtionosuuden tasausta]]+Yhteenveto[[#This Row],[Verotuloihin perustuva valtionosuuden tasaus]])</f>
        <v>4927314.2758836616</v>
      </c>
      <c r="O31" s="241">
        <v>801694.35093113943</v>
      </c>
      <c r="P31" s="372">
        <f>SUM(Yhteenveto[[#This Row],[Kunnan  peruspalvelujen valtionosuus ]:[Veroperustemuutoksista johtuvien veromenetysten korvaus]])</f>
        <v>5729008.6268148012</v>
      </c>
      <c r="Q31" s="34">
        <v>-749938.0765000002</v>
      </c>
      <c r="R31" s="341">
        <f>+Yhteenveto[[#This Row],[Kunnan  peruspalvelujen valtionosuus ]]+Yhteenveto[[#This Row],[Veroperustemuutoksista johtuvien veromenetysten korvaus]]+Yhteenveto[[#This Row],[Kotikuntakorvaus, netto (ei päivitetty)]]</f>
        <v>4979070.5503148008</v>
      </c>
      <c r="S31" s="11"/>
      <c r="T31"/>
    </row>
    <row r="32" spans="1:20" ht="15">
      <c r="A32" s="32">
        <v>90</v>
      </c>
      <c r="B32" s="13" t="s">
        <v>37</v>
      </c>
      <c r="C32" s="15">
        <v>3001</v>
      </c>
      <c r="D32" s="15">
        <v>3026046.41</v>
      </c>
      <c r="E32" s="15">
        <v>1561382.4274424566</v>
      </c>
      <c r="F32" s="231">
        <f>Yhteenveto[[#This Row],[Ikärakenne, laskennallinen kustannus]]+Yhteenveto[[#This Row],[Muut laskennalliset kustannukset ]]</f>
        <v>4587428.8374424567</v>
      </c>
      <c r="G32" s="508">
        <v>1422.47</v>
      </c>
      <c r="H32" s="17">
        <v>4268832.47</v>
      </c>
      <c r="I32" s="339">
        <f>Yhteenveto[[#This Row],[Laskennalliset kustannukset yhteensä]]-Yhteenveto[[#This Row],[Omarahoitusosuus, €]]</f>
        <v>318596.36744245701</v>
      </c>
      <c r="J32" s="33">
        <v>1070154.1793044151</v>
      </c>
      <c r="K32" s="34">
        <v>-1563781.8757461756</v>
      </c>
      <c r="L32" s="231">
        <f>Yhteenveto[[#This Row],[Valtionosuus omarahoitusosuuden jälkeen (välisumma)]]+Yhteenveto[[#This Row],[Lisäosat yhteensä]]+Yhteenveto[[#This Row],[Valtionosuuteen tehtävät vähennykset ja lisäykset, netto]]</f>
        <v>-175031.32899930351</v>
      </c>
      <c r="M32" s="34">
        <v>685599.14825596253</v>
      </c>
      <c r="N32" s="303">
        <f>SUM(Yhteenveto[[#This Row],[Valtionosuus ennen verotuloihin perustuvaa valtionosuuden tasausta]]+Yhteenveto[[#This Row],[Verotuloihin perustuva valtionosuuden tasaus]])</f>
        <v>510567.81925665902</v>
      </c>
      <c r="O32" s="241">
        <v>544357.46823930717</v>
      </c>
      <c r="P32" s="372">
        <f>SUM(Yhteenveto[[#This Row],[Kunnan  peruspalvelujen valtionosuus ]:[Veroperustemuutoksista johtuvien veromenetysten korvaus]])</f>
        <v>1054925.2874959661</v>
      </c>
      <c r="Q32" s="34">
        <v>-7459.25</v>
      </c>
      <c r="R32" s="341">
        <f>+Yhteenveto[[#This Row],[Kunnan  peruspalvelujen valtionosuus ]]+Yhteenveto[[#This Row],[Veroperustemuutoksista johtuvien veromenetysten korvaus]]+Yhteenveto[[#This Row],[Kotikuntakorvaus, netto (ei päivitetty)]]</f>
        <v>1047466.0374959661</v>
      </c>
      <c r="S32" s="11"/>
      <c r="T32"/>
    </row>
    <row r="33" spans="1:20" ht="15">
      <c r="A33" s="32">
        <v>91</v>
      </c>
      <c r="B33" s="13" t="s">
        <v>38</v>
      </c>
      <c r="C33" s="15">
        <v>674500</v>
      </c>
      <c r="D33" s="15">
        <v>948124586.11999989</v>
      </c>
      <c r="E33" s="15">
        <v>374406505.2852174</v>
      </c>
      <c r="F33" s="231">
        <f>Yhteenveto[[#This Row],[Ikärakenne, laskennallinen kustannus]]+Yhteenveto[[#This Row],[Muut laskennalliset kustannukset ]]</f>
        <v>1322531091.4052172</v>
      </c>
      <c r="G33" s="508">
        <v>1422.47</v>
      </c>
      <c r="H33" s="17">
        <v>959456015</v>
      </c>
      <c r="I33" s="339">
        <f>Yhteenveto[[#This Row],[Laskennalliset kustannukset yhteensä]]-Yhteenveto[[#This Row],[Omarahoitusosuus, €]]</f>
        <v>363075076.40521717</v>
      </c>
      <c r="J33" s="33">
        <v>31969453.909917805</v>
      </c>
      <c r="K33" s="34">
        <v>-61987027.06403514</v>
      </c>
      <c r="L33" s="231">
        <f>Yhteenveto[[#This Row],[Valtionosuus omarahoitusosuuden jälkeen (välisumma)]]+Yhteenveto[[#This Row],[Lisäosat yhteensä]]+Yhteenveto[[#This Row],[Valtionosuuteen tehtävät vähennykset ja lisäykset, netto]]</f>
        <v>333057503.25109988</v>
      </c>
      <c r="M33" s="34">
        <v>-61834810.623570271</v>
      </c>
      <c r="N33" s="303">
        <f>SUM(Yhteenveto[[#This Row],[Valtionosuus ennen verotuloihin perustuvaa valtionosuuden tasausta]]+Yhteenveto[[#This Row],[Verotuloihin perustuva valtionosuuden tasaus]])</f>
        <v>271222692.62752962</v>
      </c>
      <c r="O33" s="241">
        <v>66993057.015050992</v>
      </c>
      <c r="P33" s="372">
        <f>SUM(Yhteenveto[[#This Row],[Kunnan  peruspalvelujen valtionosuus ]:[Veroperustemuutoksista johtuvien veromenetysten korvaus]])</f>
        <v>338215749.64258063</v>
      </c>
      <c r="Q33" s="34">
        <v>-91691765.444099933</v>
      </c>
      <c r="R33" s="341">
        <f>+Yhteenveto[[#This Row],[Kunnan  peruspalvelujen valtionosuus ]]+Yhteenveto[[#This Row],[Veroperustemuutoksista johtuvien veromenetysten korvaus]]+Yhteenveto[[#This Row],[Kotikuntakorvaus, netto (ei päivitetty)]]</f>
        <v>246523984.1984807</v>
      </c>
      <c r="S33" s="11"/>
      <c r="T33"/>
    </row>
    <row r="34" spans="1:20" ht="15">
      <c r="A34" s="32">
        <v>92</v>
      </c>
      <c r="B34" s="13" t="s">
        <v>39</v>
      </c>
      <c r="C34" s="15">
        <v>247443</v>
      </c>
      <c r="D34" s="15">
        <v>403950669.44999999</v>
      </c>
      <c r="E34" s="15">
        <v>172444664.94772828</v>
      </c>
      <c r="F34" s="231">
        <f>Yhteenveto[[#This Row],[Ikärakenne, laskennallinen kustannus]]+Yhteenveto[[#This Row],[Muut laskennalliset kustannukset ]]</f>
        <v>576395334.3977282</v>
      </c>
      <c r="G34" s="508">
        <v>1422.47</v>
      </c>
      <c r="H34" s="17">
        <v>351980244.20999998</v>
      </c>
      <c r="I34" s="339">
        <f>Yhteenveto[[#This Row],[Laskennalliset kustannukset yhteensä]]-Yhteenveto[[#This Row],[Omarahoitusosuus, €]]</f>
        <v>224415090.18772823</v>
      </c>
      <c r="J34" s="33">
        <v>12516970.332423562</v>
      </c>
      <c r="K34" s="34">
        <v>-66300288.065075353</v>
      </c>
      <c r="L34" s="231">
        <f>Yhteenveto[[#This Row],[Valtionosuus omarahoitusosuuden jälkeen (välisumma)]]+Yhteenveto[[#This Row],[Lisäosat yhteensä]]+Yhteenveto[[#This Row],[Valtionosuuteen tehtävät vähennykset ja lisäykset, netto]]</f>
        <v>170631772.45507646</v>
      </c>
      <c r="M34" s="34">
        <v>-4444519.6858414346</v>
      </c>
      <c r="N34" s="303">
        <f>SUM(Yhteenveto[[#This Row],[Valtionosuus ennen verotuloihin perustuvaa valtionosuuden tasausta]]+Yhteenveto[[#This Row],[Verotuloihin perustuva valtionosuuden tasaus]])</f>
        <v>166187252.76923501</v>
      </c>
      <c r="O34" s="241">
        <v>18740417.852373134</v>
      </c>
      <c r="P34" s="372">
        <f>SUM(Yhteenveto[[#This Row],[Kunnan  peruspalvelujen valtionosuus ]:[Veroperustemuutoksista johtuvien veromenetysten korvaus]])</f>
        <v>184927670.62160814</v>
      </c>
      <c r="Q34" s="34">
        <v>-5847334.4201500099</v>
      </c>
      <c r="R34" s="341">
        <f>+Yhteenveto[[#This Row],[Kunnan  peruspalvelujen valtionosuus ]]+Yhteenveto[[#This Row],[Veroperustemuutoksista johtuvien veromenetysten korvaus]]+Yhteenveto[[#This Row],[Kotikuntakorvaus, netto (ei päivitetty)]]</f>
        <v>179080336.20145813</v>
      </c>
      <c r="S34" s="11"/>
      <c r="T34"/>
    </row>
    <row r="35" spans="1:20" ht="15">
      <c r="A35" s="32">
        <v>97</v>
      </c>
      <c r="B35" s="13" t="s">
        <v>40</v>
      </c>
      <c r="C35" s="15">
        <v>2062</v>
      </c>
      <c r="D35" s="15">
        <v>2055468.09</v>
      </c>
      <c r="E35" s="15">
        <v>1249948.0667044977</v>
      </c>
      <c r="F35" s="231">
        <f>Yhteenveto[[#This Row],[Ikärakenne, laskennallinen kustannus]]+Yhteenveto[[#This Row],[Muut laskennalliset kustannukset ]]</f>
        <v>3305416.1567044975</v>
      </c>
      <c r="G35" s="508">
        <v>1422.47</v>
      </c>
      <c r="H35" s="17">
        <v>2933133.14</v>
      </c>
      <c r="I35" s="339">
        <f>Yhteenveto[[#This Row],[Laskennalliset kustannukset yhteensä]]-Yhteenveto[[#This Row],[Omarahoitusosuus, €]]</f>
        <v>372283.01670449739</v>
      </c>
      <c r="J35" s="33">
        <v>159508.47789138558</v>
      </c>
      <c r="K35" s="34">
        <v>-420992.05772576999</v>
      </c>
      <c r="L35" s="231">
        <f>Yhteenveto[[#This Row],[Valtionosuus omarahoitusosuuden jälkeen (välisumma)]]+Yhteenveto[[#This Row],[Lisäosat yhteensä]]+Yhteenveto[[#This Row],[Valtionosuuteen tehtävät vähennykset ja lisäykset, netto]]</f>
        <v>110799.43687011296</v>
      </c>
      <c r="M35" s="34">
        <v>435695.72939208639</v>
      </c>
      <c r="N35" s="303">
        <f>SUM(Yhteenveto[[#This Row],[Valtionosuus ennen verotuloihin perustuvaa valtionosuuden tasausta]]+Yhteenveto[[#This Row],[Verotuloihin perustuva valtionosuuden tasaus]])</f>
        <v>546495.1662621994</v>
      </c>
      <c r="O35" s="241">
        <v>363745.73214982572</v>
      </c>
      <c r="P35" s="372">
        <f>SUM(Yhteenveto[[#This Row],[Kunnan  peruspalvelujen valtionosuus ]:[Veroperustemuutoksista johtuvien veromenetysten korvaus]])</f>
        <v>910240.89841202507</v>
      </c>
      <c r="Q35" s="34">
        <v>-23153.512000000002</v>
      </c>
      <c r="R35" s="341">
        <f>+Yhteenveto[[#This Row],[Kunnan  peruspalvelujen valtionosuus ]]+Yhteenveto[[#This Row],[Veroperustemuutoksista johtuvien veromenetysten korvaus]]+Yhteenveto[[#This Row],[Kotikuntakorvaus, netto (ei päivitetty)]]</f>
        <v>887087.38641202508</v>
      </c>
      <c r="S35" s="11"/>
      <c r="T35"/>
    </row>
    <row r="36" spans="1:20" ht="15">
      <c r="A36" s="32">
        <v>98</v>
      </c>
      <c r="B36" s="13" t="s">
        <v>41</v>
      </c>
      <c r="C36" s="15">
        <v>22885</v>
      </c>
      <c r="D36" s="15">
        <v>37114708.990000002</v>
      </c>
      <c r="E36" s="15">
        <v>4378124.5469987951</v>
      </c>
      <c r="F36" s="231">
        <f>Yhteenveto[[#This Row],[Ikärakenne, laskennallinen kustannus]]+Yhteenveto[[#This Row],[Muut laskennalliset kustannukset ]]</f>
        <v>41492833.536998793</v>
      </c>
      <c r="G36" s="508">
        <v>1422.47</v>
      </c>
      <c r="H36" s="17">
        <v>32553225.949999999</v>
      </c>
      <c r="I36" s="339">
        <f>Yhteenveto[[#This Row],[Laskennalliset kustannukset yhteensä]]-Yhteenveto[[#This Row],[Omarahoitusosuus, €]]</f>
        <v>8939607.5869987942</v>
      </c>
      <c r="J36" s="33">
        <v>653931.89504961728</v>
      </c>
      <c r="K36" s="34">
        <v>5353503.0769301709</v>
      </c>
      <c r="L36" s="231">
        <f>Yhteenveto[[#This Row],[Valtionosuus omarahoitusosuuden jälkeen (välisumma)]]+Yhteenveto[[#This Row],[Lisäosat yhteensä]]+Yhteenveto[[#This Row],[Valtionosuuteen tehtävät vähennykset ja lisäykset, netto]]</f>
        <v>14947042.558978582</v>
      </c>
      <c r="M36" s="34">
        <v>6736775.3549311589</v>
      </c>
      <c r="N36" s="303">
        <f>SUM(Yhteenveto[[#This Row],[Valtionosuus ennen verotuloihin perustuvaa valtionosuuden tasausta]]+Yhteenveto[[#This Row],[Verotuloihin perustuva valtionosuuden tasaus]])</f>
        <v>21683817.913909741</v>
      </c>
      <c r="O36" s="241">
        <v>2001525.4379302121</v>
      </c>
      <c r="P36" s="372">
        <f>SUM(Yhteenveto[[#This Row],[Kunnan  peruspalvelujen valtionosuus ]:[Veroperustemuutoksista johtuvien veromenetysten korvaus]])</f>
        <v>23685343.351839952</v>
      </c>
      <c r="Q36" s="34">
        <v>-1892208.8334000004</v>
      </c>
      <c r="R36" s="341">
        <f>+Yhteenveto[[#This Row],[Kunnan  peruspalvelujen valtionosuus ]]+Yhteenveto[[#This Row],[Veroperustemuutoksista johtuvien veromenetysten korvaus]]+Yhteenveto[[#This Row],[Kotikuntakorvaus, netto (ei päivitetty)]]</f>
        <v>21793134.518439952</v>
      </c>
      <c r="S36" s="11"/>
      <c r="T36"/>
    </row>
    <row r="37" spans="1:20" ht="15">
      <c r="A37" s="32">
        <v>102</v>
      </c>
      <c r="B37" s="13" t="s">
        <v>42</v>
      </c>
      <c r="C37" s="15">
        <v>9646</v>
      </c>
      <c r="D37" s="15">
        <v>13077500.459999999</v>
      </c>
      <c r="E37" s="15">
        <v>2379067.9630507533</v>
      </c>
      <c r="F37" s="231">
        <f>Yhteenveto[[#This Row],[Ikärakenne, laskennallinen kustannus]]+Yhteenveto[[#This Row],[Muut laskennalliset kustannukset ]]</f>
        <v>15456568.423050752</v>
      </c>
      <c r="G37" s="508">
        <v>1422.47</v>
      </c>
      <c r="H37" s="17">
        <v>13721145.620000001</v>
      </c>
      <c r="I37" s="339">
        <f>Yhteenveto[[#This Row],[Laskennalliset kustannukset yhteensä]]-Yhteenveto[[#This Row],[Omarahoitusosuus, €]]</f>
        <v>1735422.8030507509</v>
      </c>
      <c r="J37" s="33">
        <v>313723.04013558227</v>
      </c>
      <c r="K37" s="34">
        <v>-69783.165469633008</v>
      </c>
      <c r="L37" s="231">
        <f>Yhteenveto[[#This Row],[Valtionosuus omarahoitusosuuden jälkeen (välisumma)]]+Yhteenveto[[#This Row],[Lisäosat yhteensä]]+Yhteenveto[[#This Row],[Valtionosuuteen tehtävät vähennykset ja lisäykset, netto]]</f>
        <v>1979362.6777167001</v>
      </c>
      <c r="M37" s="34">
        <v>4000513.5826442218</v>
      </c>
      <c r="N37" s="303">
        <f>SUM(Yhteenveto[[#This Row],[Valtionosuus ennen verotuloihin perustuvaa valtionosuuden tasausta]]+Yhteenveto[[#This Row],[Verotuloihin perustuva valtionosuuden tasaus]])</f>
        <v>5979876.2603609217</v>
      </c>
      <c r="O37" s="241">
        <v>1440321.8621548116</v>
      </c>
      <c r="P37" s="372">
        <f>SUM(Yhteenveto[[#This Row],[Kunnan  peruspalvelujen valtionosuus ]:[Veroperustemuutoksista johtuvien veromenetysten korvaus]])</f>
        <v>7420198.1225157334</v>
      </c>
      <c r="Q37" s="34">
        <v>201772.71249999999</v>
      </c>
      <c r="R37" s="341">
        <f>+Yhteenveto[[#This Row],[Kunnan  peruspalvelujen valtionosuus ]]+Yhteenveto[[#This Row],[Veroperustemuutoksista johtuvien veromenetysten korvaus]]+Yhteenveto[[#This Row],[Kotikuntakorvaus, netto (ei päivitetty)]]</f>
        <v>7621970.8350157337</v>
      </c>
      <c r="S37" s="11"/>
      <c r="T37"/>
    </row>
    <row r="38" spans="1:20" ht="15">
      <c r="A38" s="32">
        <v>103</v>
      </c>
      <c r="B38" s="13" t="s">
        <v>43</v>
      </c>
      <c r="C38" s="15">
        <v>2125</v>
      </c>
      <c r="D38" s="15">
        <v>2840058.36</v>
      </c>
      <c r="E38" s="15">
        <v>500517.09421660576</v>
      </c>
      <c r="F38" s="231">
        <f>Yhteenveto[[#This Row],[Ikärakenne, laskennallinen kustannus]]+Yhteenveto[[#This Row],[Muut laskennalliset kustannukset ]]</f>
        <v>3340575.4542166055</v>
      </c>
      <c r="G38" s="508">
        <v>1422.47</v>
      </c>
      <c r="H38" s="17">
        <v>3022748.75</v>
      </c>
      <c r="I38" s="339">
        <f>Yhteenveto[[#This Row],[Laskennalliset kustannukset yhteensä]]-Yhteenveto[[#This Row],[Omarahoitusosuus, €]]</f>
        <v>317826.70421660552</v>
      </c>
      <c r="J38" s="33">
        <v>35769.40527828678</v>
      </c>
      <c r="K38" s="34">
        <v>15380.496642923332</v>
      </c>
      <c r="L38" s="231">
        <f>Yhteenveto[[#This Row],[Valtionosuus omarahoitusosuuden jälkeen (välisumma)]]+Yhteenveto[[#This Row],[Lisäosat yhteensä]]+Yhteenveto[[#This Row],[Valtionosuuteen tehtävät vähennykset ja lisäykset, netto]]</f>
        <v>368976.60613781563</v>
      </c>
      <c r="M38" s="34">
        <v>1152652.6137815986</v>
      </c>
      <c r="N38" s="303">
        <f>SUM(Yhteenveto[[#This Row],[Valtionosuus ennen verotuloihin perustuvaa valtionosuuden tasausta]]+Yhteenveto[[#This Row],[Verotuloihin perustuva valtionosuuden tasaus]])</f>
        <v>1521629.2199194143</v>
      </c>
      <c r="O38" s="241">
        <v>338113.43130093627</v>
      </c>
      <c r="P38" s="372">
        <f>SUM(Yhteenveto[[#This Row],[Kunnan  peruspalvelujen valtionosuus ]:[Veroperustemuutoksista johtuvien veromenetysten korvaus]])</f>
        <v>1859742.6512203505</v>
      </c>
      <c r="Q38" s="34">
        <v>-28345.149999999994</v>
      </c>
      <c r="R38" s="341">
        <f>+Yhteenveto[[#This Row],[Kunnan  peruspalvelujen valtionosuus ]]+Yhteenveto[[#This Row],[Veroperustemuutoksista johtuvien veromenetysten korvaus]]+Yhteenveto[[#This Row],[Kotikuntakorvaus, netto (ei päivitetty)]]</f>
        <v>1831397.5012203506</v>
      </c>
      <c r="S38" s="11"/>
      <c r="T38"/>
    </row>
    <row r="39" spans="1:20" ht="15">
      <c r="A39" s="32">
        <v>105</v>
      </c>
      <c r="B39" s="13" t="s">
        <v>44</v>
      </c>
      <c r="C39" s="15">
        <v>2063</v>
      </c>
      <c r="D39" s="15">
        <v>2050371.62</v>
      </c>
      <c r="E39" s="15">
        <v>1495232.8900276385</v>
      </c>
      <c r="F39" s="231">
        <f>Yhteenveto[[#This Row],[Ikärakenne, laskennallinen kustannus]]+Yhteenveto[[#This Row],[Muut laskennalliset kustannukset ]]</f>
        <v>3545604.5100276386</v>
      </c>
      <c r="G39" s="508">
        <v>1422.47</v>
      </c>
      <c r="H39" s="17">
        <v>2934555.61</v>
      </c>
      <c r="I39" s="339">
        <f>Yhteenveto[[#This Row],[Laskennalliset kustannukset yhteensä]]-Yhteenveto[[#This Row],[Omarahoitusosuus, €]]</f>
        <v>611048.90002763877</v>
      </c>
      <c r="J39" s="33">
        <v>750209.14743689238</v>
      </c>
      <c r="K39" s="34">
        <v>686821.85305141122</v>
      </c>
      <c r="L39" s="231">
        <f>Yhteenveto[[#This Row],[Valtionosuus omarahoitusosuuden jälkeen (välisumma)]]+Yhteenveto[[#This Row],[Lisäosat yhteensä]]+Yhteenveto[[#This Row],[Valtionosuuteen tehtävät vähennykset ja lisäykset, netto]]</f>
        <v>2048079.9005159424</v>
      </c>
      <c r="M39" s="34">
        <v>1129153.6760794658</v>
      </c>
      <c r="N39" s="303">
        <f>SUM(Yhteenveto[[#This Row],[Valtionosuus ennen verotuloihin perustuvaa valtionosuuden tasausta]]+Yhteenveto[[#This Row],[Verotuloihin perustuva valtionosuuden tasaus]])</f>
        <v>3177233.5765954079</v>
      </c>
      <c r="O39" s="241">
        <v>388623.6514767537</v>
      </c>
      <c r="P39" s="372">
        <f>SUM(Yhteenveto[[#This Row],[Kunnan  peruspalvelujen valtionosuus ]:[Veroperustemuutoksista johtuvien veromenetysten korvaus]])</f>
        <v>3565857.2280721618</v>
      </c>
      <c r="Q39" s="34">
        <v>13426.650000000001</v>
      </c>
      <c r="R39" s="341">
        <f>+Yhteenveto[[#This Row],[Kunnan  peruspalvelujen valtionosuus ]]+Yhteenveto[[#This Row],[Veroperustemuutoksista johtuvien veromenetysten korvaus]]+Yhteenveto[[#This Row],[Kotikuntakorvaus, netto (ei päivitetty)]]</f>
        <v>3579283.8780721617</v>
      </c>
      <c r="S39" s="11"/>
      <c r="T39"/>
    </row>
    <row r="40" spans="1:20" ht="15">
      <c r="A40" s="32">
        <v>106</v>
      </c>
      <c r="B40" s="13" t="s">
        <v>45</v>
      </c>
      <c r="C40" s="15">
        <v>46901</v>
      </c>
      <c r="D40" s="15">
        <v>68690997.75</v>
      </c>
      <c r="E40" s="15">
        <v>14163560.342898689</v>
      </c>
      <c r="F40" s="231">
        <f>Yhteenveto[[#This Row],[Ikärakenne, laskennallinen kustannus]]+Yhteenveto[[#This Row],[Muut laskennalliset kustannukset ]]</f>
        <v>82854558.092898697</v>
      </c>
      <c r="G40" s="508">
        <v>1422.47</v>
      </c>
      <c r="H40" s="17">
        <v>66715265.469999999</v>
      </c>
      <c r="I40" s="339">
        <f>Yhteenveto[[#This Row],[Laskennalliset kustannukset yhteensä]]-Yhteenveto[[#This Row],[Omarahoitusosuus, €]]</f>
        <v>16139292.622898698</v>
      </c>
      <c r="J40" s="33">
        <v>1601176.6557777077</v>
      </c>
      <c r="K40" s="34">
        <v>-6208819.4517613649</v>
      </c>
      <c r="L40" s="231">
        <f>Yhteenveto[[#This Row],[Valtionosuus omarahoitusosuuden jälkeen (välisumma)]]+Yhteenveto[[#This Row],[Lisäosat yhteensä]]+Yhteenveto[[#This Row],[Valtionosuuteen tehtävät vähennykset ja lisäykset, netto]]</f>
        <v>11531649.826915041</v>
      </c>
      <c r="M40" s="34">
        <v>-108384.40665429989</v>
      </c>
      <c r="N40" s="303">
        <f>SUM(Yhteenveto[[#This Row],[Valtionosuus ennen verotuloihin perustuvaa valtionosuuden tasausta]]+Yhteenveto[[#This Row],[Verotuloihin perustuva valtionosuuden tasaus]])</f>
        <v>11423265.42026074</v>
      </c>
      <c r="O40" s="241">
        <v>3983519.1458626278</v>
      </c>
      <c r="P40" s="372">
        <f>SUM(Yhteenveto[[#This Row],[Kunnan  peruspalvelujen valtionosuus ]:[Veroperustemuutoksista johtuvien veromenetysten korvaus]])</f>
        <v>15406784.566123368</v>
      </c>
      <c r="Q40" s="34">
        <v>-134296.33700000006</v>
      </c>
      <c r="R40" s="341">
        <f>+Yhteenveto[[#This Row],[Kunnan  peruspalvelujen valtionosuus ]]+Yhteenveto[[#This Row],[Veroperustemuutoksista johtuvien veromenetysten korvaus]]+Yhteenveto[[#This Row],[Kotikuntakorvaus, netto (ei päivitetty)]]</f>
        <v>15272488.229123369</v>
      </c>
      <c r="S40" s="11"/>
      <c r="T40"/>
    </row>
    <row r="41" spans="1:20" ht="15">
      <c r="A41" s="32">
        <v>108</v>
      </c>
      <c r="B41" s="13" t="s">
        <v>46</v>
      </c>
      <c r="C41" s="15">
        <v>10319</v>
      </c>
      <c r="D41" s="15">
        <v>16960384.690000001</v>
      </c>
      <c r="E41" s="15">
        <v>2073055.8937281051</v>
      </c>
      <c r="F41" s="231">
        <f>Yhteenveto[[#This Row],[Ikärakenne, laskennallinen kustannus]]+Yhteenveto[[#This Row],[Muut laskennalliset kustannukset ]]</f>
        <v>19033440.583728105</v>
      </c>
      <c r="G41" s="508">
        <v>1422.47</v>
      </c>
      <c r="H41" s="17">
        <v>14678467.93</v>
      </c>
      <c r="I41" s="339">
        <f>Yhteenveto[[#This Row],[Laskennalliset kustannukset yhteensä]]-Yhteenveto[[#This Row],[Omarahoitusosuus, €]]</f>
        <v>4354972.6537281051</v>
      </c>
      <c r="J41" s="33">
        <v>310586.41004105849</v>
      </c>
      <c r="K41" s="34">
        <v>116666.66297556297</v>
      </c>
      <c r="L41" s="231">
        <f>Yhteenveto[[#This Row],[Valtionosuus omarahoitusosuuden jälkeen (välisumma)]]+Yhteenveto[[#This Row],[Lisäosat yhteensä]]+Yhteenveto[[#This Row],[Valtionosuuteen tehtävät vähennykset ja lisäykset, netto]]</f>
        <v>4782225.7267447263</v>
      </c>
      <c r="M41" s="34">
        <v>3997186.4248397043</v>
      </c>
      <c r="N41" s="303">
        <f>SUM(Yhteenveto[[#This Row],[Valtionosuus ennen verotuloihin perustuvaa valtionosuuden tasausta]]+Yhteenveto[[#This Row],[Verotuloihin perustuva valtionosuuden tasaus]])</f>
        <v>8779412.1515844315</v>
      </c>
      <c r="O41" s="241">
        <v>976108.64904044406</v>
      </c>
      <c r="P41" s="372">
        <f>SUM(Yhteenveto[[#This Row],[Kunnan  peruspalvelujen valtionosuus ]:[Veroperustemuutoksista johtuvien veromenetysten korvaus]])</f>
        <v>9755520.8006248754</v>
      </c>
      <c r="Q41" s="34">
        <v>-99312.454499999905</v>
      </c>
      <c r="R41" s="341">
        <f>+Yhteenveto[[#This Row],[Kunnan  peruspalvelujen valtionosuus ]]+Yhteenveto[[#This Row],[Veroperustemuutoksista johtuvien veromenetysten korvaus]]+Yhteenveto[[#This Row],[Kotikuntakorvaus, netto (ei päivitetty)]]</f>
        <v>9656208.3461248763</v>
      </c>
      <c r="S41" s="11"/>
      <c r="T41"/>
    </row>
    <row r="42" spans="1:20" ht="15">
      <c r="A42" s="32">
        <v>109</v>
      </c>
      <c r="B42" s="36" t="s">
        <v>47</v>
      </c>
      <c r="C42" s="15">
        <v>68319</v>
      </c>
      <c r="D42" s="15">
        <v>95635509.030000001</v>
      </c>
      <c r="E42" s="15">
        <v>20131331.418640826</v>
      </c>
      <c r="F42" s="231">
        <f>Yhteenveto[[#This Row],[Ikärakenne, laskennallinen kustannus]]+Yhteenveto[[#This Row],[Muut laskennalliset kustannukset ]]</f>
        <v>115766840.44864082</v>
      </c>
      <c r="G42" s="508">
        <v>1422.47</v>
      </c>
      <c r="H42" s="17">
        <v>97181727.930000007</v>
      </c>
      <c r="I42" s="339">
        <f>Yhteenveto[[#This Row],[Laskennalliset kustannukset yhteensä]]-Yhteenveto[[#This Row],[Omarahoitusosuus, €]]</f>
        <v>18585112.518640816</v>
      </c>
      <c r="J42" s="33">
        <v>2534878.4322750648</v>
      </c>
      <c r="K42" s="34">
        <v>-5196001.9719640333</v>
      </c>
      <c r="L42" s="231">
        <f>Yhteenveto[[#This Row],[Valtionosuus omarahoitusosuuden jälkeen (välisumma)]]+Yhteenveto[[#This Row],[Lisäosat yhteensä]]+Yhteenveto[[#This Row],[Valtionosuuteen tehtävät vähennykset ja lisäykset, netto]]</f>
        <v>15923988.978951847</v>
      </c>
      <c r="M42" s="34">
        <v>7605247.0380784953</v>
      </c>
      <c r="N42" s="303">
        <f>SUM(Yhteenveto[[#This Row],[Valtionosuus ennen verotuloihin perustuvaa valtionosuuden tasausta]]+Yhteenveto[[#This Row],[Verotuloihin perustuva valtionosuuden tasaus]])</f>
        <v>23529236.017030343</v>
      </c>
      <c r="O42" s="241">
        <v>6257264.5936600827</v>
      </c>
      <c r="P42" s="372">
        <f>SUM(Yhteenveto[[#This Row],[Kunnan  peruspalvelujen valtionosuus ]:[Veroperustemuutoksista johtuvien veromenetysten korvaus]])</f>
        <v>29786500.610690426</v>
      </c>
      <c r="Q42" s="34">
        <v>-245946.39100000041</v>
      </c>
      <c r="R42" s="341">
        <f>+Yhteenveto[[#This Row],[Kunnan  peruspalvelujen valtionosuus ]]+Yhteenveto[[#This Row],[Veroperustemuutoksista johtuvien veromenetysten korvaus]]+Yhteenveto[[#This Row],[Kotikuntakorvaus, netto (ei päivitetty)]]</f>
        <v>29540554.219690427</v>
      </c>
      <c r="S42" s="11"/>
      <c r="T42"/>
    </row>
    <row r="43" spans="1:20" ht="15">
      <c r="A43" s="32">
        <v>111</v>
      </c>
      <c r="B43" s="36" t="s">
        <v>48</v>
      </c>
      <c r="C43" s="15">
        <v>17953</v>
      </c>
      <c r="D43" s="15">
        <v>19079370.480000004</v>
      </c>
      <c r="E43" s="15">
        <v>5569613.7353066811</v>
      </c>
      <c r="F43" s="231">
        <f>Yhteenveto[[#This Row],[Ikärakenne, laskennallinen kustannus]]+Yhteenveto[[#This Row],[Muut laskennalliset kustannukset ]]</f>
        <v>24648984.215306684</v>
      </c>
      <c r="G43" s="508">
        <v>1422.47</v>
      </c>
      <c r="H43" s="17">
        <v>25537603.91</v>
      </c>
      <c r="I43" s="339">
        <f>Yhteenveto[[#This Row],[Laskennalliset kustannukset yhteensä]]-Yhteenveto[[#This Row],[Omarahoitusosuus, €]]</f>
        <v>-888619.69469331577</v>
      </c>
      <c r="J43" s="33">
        <v>616272.87802231242</v>
      </c>
      <c r="K43" s="34">
        <v>5214749.6746205306</v>
      </c>
      <c r="L43" s="231">
        <f>Yhteenveto[[#This Row],[Valtionosuus omarahoitusosuuden jälkeen (välisumma)]]+Yhteenveto[[#This Row],[Lisäosat yhteensä]]+Yhteenveto[[#This Row],[Valtionosuuteen tehtävät vähennykset ja lisäykset, netto]]</f>
        <v>4942402.857949527</v>
      </c>
      <c r="M43" s="34">
        <v>5672907.4096205197</v>
      </c>
      <c r="N43" s="303">
        <f>SUM(Yhteenveto[[#This Row],[Valtionosuus ennen verotuloihin perustuvaa valtionosuuden tasausta]]+Yhteenveto[[#This Row],[Verotuloihin perustuva valtionosuuden tasaus]])</f>
        <v>10615310.267570047</v>
      </c>
      <c r="O43" s="241">
        <v>2099007.1525767767</v>
      </c>
      <c r="P43" s="372">
        <f>SUM(Yhteenveto[[#This Row],[Kunnan  peruspalvelujen valtionosuus ]:[Veroperustemuutoksista johtuvien veromenetysten korvaus]])</f>
        <v>12714317.420146823</v>
      </c>
      <c r="Q43" s="34">
        <v>107562.38499999998</v>
      </c>
      <c r="R43" s="341">
        <f>+Yhteenveto[[#This Row],[Kunnan  peruspalvelujen valtionosuus ]]+Yhteenveto[[#This Row],[Veroperustemuutoksista johtuvien veromenetysten korvaus]]+Yhteenveto[[#This Row],[Kotikuntakorvaus, netto (ei päivitetty)]]</f>
        <v>12821879.805146823</v>
      </c>
      <c r="S43" s="11"/>
      <c r="T43"/>
    </row>
    <row r="44" spans="1:20" ht="15">
      <c r="A44" s="32">
        <v>139</v>
      </c>
      <c r="B44" s="36" t="s">
        <v>49</v>
      </c>
      <c r="C44" s="15">
        <v>9766</v>
      </c>
      <c r="D44" s="15">
        <v>20140829.440000001</v>
      </c>
      <c r="E44" s="15">
        <v>2933797.5638255989</v>
      </c>
      <c r="F44" s="231">
        <f>Yhteenveto[[#This Row],[Ikärakenne, laskennallinen kustannus]]+Yhteenveto[[#This Row],[Muut laskennalliset kustannukset ]]</f>
        <v>23074627.003825601</v>
      </c>
      <c r="G44" s="508">
        <v>1422.47</v>
      </c>
      <c r="H44" s="17">
        <v>13891842.02</v>
      </c>
      <c r="I44" s="339">
        <f>Yhteenveto[[#This Row],[Laskennalliset kustannukset yhteensä]]-Yhteenveto[[#This Row],[Omarahoitusosuus, €]]</f>
        <v>9182784.9838256016</v>
      </c>
      <c r="J44" s="33">
        <v>246366.93292700718</v>
      </c>
      <c r="K44" s="34">
        <v>-2095143.3768193438</v>
      </c>
      <c r="L44" s="231">
        <f>Yhteenveto[[#This Row],[Valtionosuus omarahoitusosuuden jälkeen (välisumma)]]+Yhteenveto[[#This Row],[Lisäosat yhteensä]]+Yhteenveto[[#This Row],[Valtionosuuteen tehtävät vähennykset ja lisäykset, netto]]</f>
        <v>7334008.5399332643</v>
      </c>
      <c r="M44" s="34">
        <v>5538144.9504489433</v>
      </c>
      <c r="N44" s="303">
        <f>SUM(Yhteenveto[[#This Row],[Valtionosuus ennen verotuloihin perustuvaa valtionosuuden tasausta]]+Yhteenveto[[#This Row],[Verotuloihin perustuva valtionosuuden tasaus]])</f>
        <v>12872153.490382208</v>
      </c>
      <c r="O44" s="241">
        <v>806480.76651258965</v>
      </c>
      <c r="P44" s="372">
        <f>SUM(Yhteenveto[[#This Row],[Kunnan  peruspalvelujen valtionosuus ]:[Veroperustemuutoksista johtuvien veromenetysten korvaus]])</f>
        <v>13678634.256894797</v>
      </c>
      <c r="Q44" s="34">
        <v>260745.54299999995</v>
      </c>
      <c r="R44" s="341">
        <f>+Yhteenveto[[#This Row],[Kunnan  peruspalvelujen valtionosuus ]]+Yhteenveto[[#This Row],[Veroperustemuutoksista johtuvien veromenetysten korvaus]]+Yhteenveto[[#This Row],[Kotikuntakorvaus, netto (ei päivitetty)]]</f>
        <v>13939379.799894797</v>
      </c>
      <c r="S44" s="11"/>
      <c r="T44"/>
    </row>
    <row r="45" spans="1:20" ht="15">
      <c r="A45" s="32">
        <v>140</v>
      </c>
      <c r="B45" s="36" t="s">
        <v>50</v>
      </c>
      <c r="C45" s="15">
        <v>20618</v>
      </c>
      <c r="D45" s="15">
        <v>29731339.23</v>
      </c>
      <c r="E45" s="15">
        <v>5621809.5532117421</v>
      </c>
      <c r="F45" s="231">
        <f>Yhteenveto[[#This Row],[Ikärakenne, laskennallinen kustannus]]+Yhteenveto[[#This Row],[Muut laskennalliset kustannukset ]]</f>
        <v>35353148.783211745</v>
      </c>
      <c r="G45" s="508">
        <v>1422.47</v>
      </c>
      <c r="H45" s="17">
        <v>29328486.460000001</v>
      </c>
      <c r="I45" s="339">
        <f>Yhteenveto[[#This Row],[Laskennalliset kustannukset yhteensä]]-Yhteenveto[[#This Row],[Omarahoitusosuus, €]]</f>
        <v>6024662.3232117444</v>
      </c>
      <c r="J45" s="33">
        <v>1054748.5888245394</v>
      </c>
      <c r="K45" s="34">
        <v>6929051.7374008493</v>
      </c>
      <c r="L45" s="231">
        <f>Yhteenveto[[#This Row],[Valtionosuus omarahoitusosuuden jälkeen (välisumma)]]+Yhteenveto[[#This Row],[Lisäosat yhteensä]]+Yhteenveto[[#This Row],[Valtionosuuteen tehtävät vähennykset ja lisäykset, netto]]</f>
        <v>14008462.649437133</v>
      </c>
      <c r="M45" s="34">
        <v>7409696.5193674462</v>
      </c>
      <c r="N45" s="303">
        <f>SUM(Yhteenveto[[#This Row],[Valtionosuus ennen verotuloihin perustuvaa valtionosuuden tasausta]]+Yhteenveto[[#This Row],[Verotuloihin perustuva valtionosuuden tasaus]])</f>
        <v>21418159.168804578</v>
      </c>
      <c r="O45" s="241">
        <v>2440172.6397569058</v>
      </c>
      <c r="P45" s="372">
        <f>SUM(Yhteenveto[[#This Row],[Kunnan  peruspalvelujen valtionosuus ]:[Veroperustemuutoksista johtuvien veromenetysten korvaus]])</f>
        <v>23858331.808561485</v>
      </c>
      <c r="Q45" s="34">
        <v>-146111.78900000005</v>
      </c>
      <c r="R45" s="341">
        <f>+Yhteenveto[[#This Row],[Kunnan  peruspalvelujen valtionosuus ]]+Yhteenveto[[#This Row],[Veroperustemuutoksista johtuvien veromenetysten korvaus]]+Yhteenveto[[#This Row],[Kotikuntakorvaus, netto (ei päivitetty)]]</f>
        <v>23712220.019561484</v>
      </c>
      <c r="S45" s="11"/>
      <c r="T45"/>
    </row>
    <row r="46" spans="1:20" ht="15">
      <c r="A46" s="32">
        <v>142</v>
      </c>
      <c r="B46" s="36" t="s">
        <v>51</v>
      </c>
      <c r="C46" s="15">
        <v>6444</v>
      </c>
      <c r="D46" s="15">
        <v>8647367.2000000011</v>
      </c>
      <c r="E46" s="15">
        <v>1608060.2736792909</v>
      </c>
      <c r="F46" s="231">
        <f>Yhteenveto[[#This Row],[Ikärakenne, laskennallinen kustannus]]+Yhteenveto[[#This Row],[Muut laskennalliset kustannukset ]]</f>
        <v>10255427.473679293</v>
      </c>
      <c r="G46" s="508">
        <v>1422.47</v>
      </c>
      <c r="H46" s="17">
        <v>9166396.6799999997</v>
      </c>
      <c r="I46" s="339">
        <f>Yhteenveto[[#This Row],[Laskennalliset kustannukset yhteensä]]-Yhteenveto[[#This Row],[Omarahoitusosuus, €]]</f>
        <v>1089030.7936792932</v>
      </c>
      <c r="J46" s="33">
        <v>172848.10586584665</v>
      </c>
      <c r="K46" s="34">
        <v>93508.064457383822</v>
      </c>
      <c r="L46" s="231">
        <f>Yhteenveto[[#This Row],[Valtionosuus omarahoitusosuuden jälkeen (välisumma)]]+Yhteenveto[[#This Row],[Lisäosat yhteensä]]+Yhteenveto[[#This Row],[Valtionosuuteen tehtävät vähennykset ja lisäykset, netto]]</f>
        <v>1355386.9640025236</v>
      </c>
      <c r="M46" s="34">
        <v>2852238.7973180367</v>
      </c>
      <c r="N46" s="303">
        <f>SUM(Yhteenveto[[#This Row],[Valtionosuus ennen verotuloihin perustuvaa valtionosuuden tasausta]]+Yhteenveto[[#This Row],[Verotuloihin perustuva valtionosuuden tasaus]])</f>
        <v>4207625.7613205602</v>
      </c>
      <c r="O46" s="241">
        <v>781655.16086139728</v>
      </c>
      <c r="P46" s="372">
        <f>SUM(Yhteenveto[[#This Row],[Kunnan  peruspalvelujen valtionosuus ]:[Veroperustemuutoksista johtuvien veromenetysten korvaus]])</f>
        <v>4989280.9221819574</v>
      </c>
      <c r="Q46" s="34">
        <v>517895.72750000004</v>
      </c>
      <c r="R46" s="341">
        <f>+Yhteenveto[[#This Row],[Kunnan  peruspalvelujen valtionosuus ]]+Yhteenveto[[#This Row],[Veroperustemuutoksista johtuvien veromenetysten korvaus]]+Yhteenveto[[#This Row],[Kotikuntakorvaus, netto (ei päivitetty)]]</f>
        <v>5507176.6496819574</v>
      </c>
      <c r="S46" s="11"/>
      <c r="T46"/>
    </row>
    <row r="47" spans="1:20" ht="15">
      <c r="A47" s="32">
        <v>143</v>
      </c>
      <c r="B47" s="13" t="s">
        <v>52</v>
      </c>
      <c r="C47" s="15">
        <v>6850</v>
      </c>
      <c r="D47" s="15">
        <v>9241617.120000001</v>
      </c>
      <c r="E47" s="15">
        <v>2124453.5189890778</v>
      </c>
      <c r="F47" s="231">
        <f>Yhteenveto[[#This Row],[Ikärakenne, laskennallinen kustannus]]+Yhteenveto[[#This Row],[Muut laskennalliset kustannukset ]]</f>
        <v>11366070.63898908</v>
      </c>
      <c r="G47" s="508">
        <v>1422.47</v>
      </c>
      <c r="H47" s="17">
        <v>9743919.5</v>
      </c>
      <c r="I47" s="339">
        <f>Yhteenveto[[#This Row],[Laskennalliset kustannukset yhteensä]]-Yhteenveto[[#This Row],[Omarahoitusosuus, €]]</f>
        <v>1622151.1389890797</v>
      </c>
      <c r="J47" s="33">
        <v>256297.60529083502</v>
      </c>
      <c r="K47" s="34">
        <v>-1027640.2828279589</v>
      </c>
      <c r="L47" s="231">
        <f>Yhteenveto[[#This Row],[Valtionosuus omarahoitusosuuden jälkeen (välisumma)]]+Yhteenveto[[#This Row],[Lisäosat yhteensä]]+Yhteenveto[[#This Row],[Valtionosuuteen tehtävät vähennykset ja lisäykset, netto]]</f>
        <v>850808.46145195584</v>
      </c>
      <c r="M47" s="34">
        <v>2735236.121914844</v>
      </c>
      <c r="N47" s="303">
        <f>SUM(Yhteenveto[[#This Row],[Valtionosuus ennen verotuloihin perustuvaa valtionosuuden tasausta]]+Yhteenveto[[#This Row],[Verotuloihin perustuva valtionosuuden tasaus]])</f>
        <v>3586044.5833668001</v>
      </c>
      <c r="O47" s="241">
        <v>928720.39389936696</v>
      </c>
      <c r="P47" s="372">
        <f>SUM(Yhteenveto[[#This Row],[Kunnan  peruspalvelujen valtionosuus ]:[Veroperustemuutoksista johtuvien veromenetysten korvaus]])</f>
        <v>4514764.9772661673</v>
      </c>
      <c r="Q47" s="34">
        <v>198341.45749999996</v>
      </c>
      <c r="R47" s="341">
        <f>+Yhteenveto[[#This Row],[Kunnan  peruspalvelujen valtionosuus ]]+Yhteenveto[[#This Row],[Veroperustemuutoksista johtuvien veromenetysten korvaus]]+Yhteenveto[[#This Row],[Kotikuntakorvaus, netto (ei päivitetty)]]</f>
        <v>4713106.4347661668</v>
      </c>
      <c r="S47" s="11"/>
      <c r="T47"/>
    </row>
    <row r="48" spans="1:20" ht="15">
      <c r="A48" s="32">
        <v>145</v>
      </c>
      <c r="B48" s="13" t="s">
        <v>53</v>
      </c>
      <c r="C48" s="15">
        <v>12343</v>
      </c>
      <c r="D48" s="15">
        <v>22971691.52</v>
      </c>
      <c r="E48" s="15">
        <v>1860119.1276732706</v>
      </c>
      <c r="F48" s="231">
        <f>Yhteenveto[[#This Row],[Ikärakenne, laskennallinen kustannus]]+Yhteenveto[[#This Row],[Muut laskennalliset kustannukset ]]</f>
        <v>24831810.647673272</v>
      </c>
      <c r="G48" s="508">
        <v>1422.47</v>
      </c>
      <c r="H48" s="17">
        <v>17557547.210000001</v>
      </c>
      <c r="I48" s="339">
        <f>Yhteenveto[[#This Row],[Laskennalliset kustannukset yhteensä]]-Yhteenveto[[#This Row],[Omarahoitusosuus, €]]</f>
        <v>7274263.4376732707</v>
      </c>
      <c r="J48" s="33">
        <v>334319.38016739121</v>
      </c>
      <c r="K48" s="34">
        <v>-108506.0428663065</v>
      </c>
      <c r="L48" s="231">
        <f>Yhteenveto[[#This Row],[Valtionosuus omarahoitusosuuden jälkeen (välisumma)]]+Yhteenveto[[#This Row],[Lisäosat yhteensä]]+Yhteenveto[[#This Row],[Valtionosuuteen tehtävät vähennykset ja lisäykset, netto]]</f>
        <v>7500076.7749743555</v>
      </c>
      <c r="M48" s="34">
        <v>5888823.6286288472</v>
      </c>
      <c r="N48" s="303">
        <f>SUM(Yhteenveto[[#This Row],[Valtionosuus ennen verotuloihin perustuvaa valtionosuuden tasausta]]+Yhteenveto[[#This Row],[Verotuloihin perustuva valtionosuuden tasaus]])</f>
        <v>13388900.403603204</v>
      </c>
      <c r="O48" s="241">
        <v>1312091.2345264507</v>
      </c>
      <c r="P48" s="372">
        <f>SUM(Yhteenveto[[#This Row],[Kunnan  peruspalvelujen valtionosuus ]:[Veroperustemuutoksista johtuvien veromenetysten korvaus]])</f>
        <v>14700991.638129655</v>
      </c>
      <c r="Q48" s="34">
        <v>67327.190500000026</v>
      </c>
      <c r="R48" s="341">
        <f>+Yhteenveto[[#This Row],[Kunnan  peruspalvelujen valtionosuus ]]+Yhteenveto[[#This Row],[Veroperustemuutoksista johtuvien veromenetysten korvaus]]+Yhteenveto[[#This Row],[Kotikuntakorvaus, netto (ei päivitetty)]]</f>
        <v>14768318.828629656</v>
      </c>
      <c r="S48" s="11"/>
      <c r="T48"/>
    </row>
    <row r="49" spans="1:20" ht="15">
      <c r="A49" s="32">
        <v>146</v>
      </c>
      <c r="B49" s="13" t="s">
        <v>54</v>
      </c>
      <c r="C49" s="15">
        <v>4406</v>
      </c>
      <c r="D49" s="15">
        <v>3783541.2899999996</v>
      </c>
      <c r="E49" s="15">
        <v>3312054.91308214</v>
      </c>
      <c r="F49" s="231">
        <f>Yhteenveto[[#This Row],[Ikärakenne, laskennallinen kustannus]]+Yhteenveto[[#This Row],[Muut laskennalliset kustannukset ]]</f>
        <v>7095596.2030821396</v>
      </c>
      <c r="G49" s="508">
        <v>1422.47</v>
      </c>
      <c r="H49" s="17">
        <v>6267402.8200000003</v>
      </c>
      <c r="I49" s="339">
        <f>Yhteenveto[[#This Row],[Laskennalliset kustannukset yhteensä]]-Yhteenveto[[#This Row],[Omarahoitusosuus, €]]</f>
        <v>828193.38308213931</v>
      </c>
      <c r="J49" s="33">
        <v>1464733.5054606607</v>
      </c>
      <c r="K49" s="34">
        <v>240799.84638060624</v>
      </c>
      <c r="L49" s="231">
        <f>Yhteenveto[[#This Row],[Valtionosuus omarahoitusosuuden jälkeen (välisumma)]]+Yhteenveto[[#This Row],[Lisäosat yhteensä]]+Yhteenveto[[#This Row],[Valtionosuuteen tehtävät vähennykset ja lisäykset, netto]]</f>
        <v>2533726.7349234065</v>
      </c>
      <c r="M49" s="34">
        <v>1433813.1953453957</v>
      </c>
      <c r="N49" s="303">
        <f>SUM(Yhteenveto[[#This Row],[Valtionosuus ennen verotuloihin perustuvaa valtionosuuden tasausta]]+Yhteenveto[[#This Row],[Verotuloihin perustuva valtionosuuden tasaus]])</f>
        <v>3967539.9302688022</v>
      </c>
      <c r="O49" s="241">
        <v>805548.78035769064</v>
      </c>
      <c r="P49" s="372">
        <f>SUM(Yhteenveto[[#This Row],[Kunnan  peruspalvelujen valtionosuus ]:[Veroperustemuutoksista johtuvien veromenetysten korvaus]])</f>
        <v>4773088.7106264932</v>
      </c>
      <c r="Q49" s="34">
        <v>26853.300000000003</v>
      </c>
      <c r="R49" s="341">
        <f>+Yhteenveto[[#This Row],[Kunnan  peruspalvelujen valtionosuus ]]+Yhteenveto[[#This Row],[Veroperustemuutoksista johtuvien veromenetysten korvaus]]+Yhteenveto[[#This Row],[Kotikuntakorvaus, netto (ei päivitetty)]]</f>
        <v>4799942.010626493</v>
      </c>
      <c r="S49" s="11"/>
      <c r="T49"/>
    </row>
    <row r="50" spans="1:20" ht="15">
      <c r="A50" s="32">
        <v>148</v>
      </c>
      <c r="B50" s="13" t="s">
        <v>55</v>
      </c>
      <c r="C50" s="15">
        <v>7127</v>
      </c>
      <c r="D50" s="15">
        <v>8660450.75</v>
      </c>
      <c r="E50" s="15">
        <v>7653152.2715559751</v>
      </c>
      <c r="F50" s="231">
        <f>Yhteenveto[[#This Row],[Ikärakenne, laskennallinen kustannus]]+Yhteenveto[[#This Row],[Muut laskennalliset kustannukset ]]</f>
        <v>16313603.021555975</v>
      </c>
      <c r="G50" s="508">
        <v>1422.47</v>
      </c>
      <c r="H50" s="17">
        <v>10137943.689999999</v>
      </c>
      <c r="I50" s="339">
        <f>Yhteenveto[[#This Row],[Laskennalliset kustannukset yhteensä]]-Yhteenveto[[#This Row],[Omarahoitusosuus, €]]</f>
        <v>6175659.3315559756</v>
      </c>
      <c r="J50" s="33">
        <v>3022255.2557999766</v>
      </c>
      <c r="K50" s="34">
        <v>2816266.4495140533</v>
      </c>
      <c r="L50" s="231">
        <f>Yhteenveto[[#This Row],[Valtionosuus omarahoitusosuuden jälkeen (välisumma)]]+Yhteenveto[[#This Row],[Lisäosat yhteensä]]+Yhteenveto[[#This Row],[Valtionosuuteen tehtävät vähennykset ja lisäykset, netto]]</f>
        <v>12014181.036870006</v>
      </c>
      <c r="M50" s="34">
        <v>-13307.25072157399</v>
      </c>
      <c r="N50" s="303">
        <f>SUM(Yhteenveto[[#This Row],[Valtionosuus ennen verotuloihin perustuvaa valtionosuuden tasausta]]+Yhteenveto[[#This Row],[Verotuloihin perustuva valtionosuuden tasaus]])</f>
        <v>12000873.786148433</v>
      </c>
      <c r="O50" s="241">
        <v>798966.47472739499</v>
      </c>
      <c r="P50" s="372">
        <f>SUM(Yhteenveto[[#This Row],[Kunnan  peruspalvelujen valtionosuus ]:[Veroperustemuutoksista johtuvien veromenetysten korvaus]])</f>
        <v>12799840.260875829</v>
      </c>
      <c r="Q50" s="34">
        <v>-2342.2045000000071</v>
      </c>
      <c r="R50" s="341">
        <f>+Yhteenveto[[#This Row],[Kunnan  peruspalvelujen valtionosuus ]]+Yhteenveto[[#This Row],[Veroperustemuutoksista johtuvien veromenetysten korvaus]]+Yhteenveto[[#This Row],[Kotikuntakorvaus, netto (ei päivitetty)]]</f>
        <v>12797498.056375828</v>
      </c>
      <c r="S50" s="11"/>
      <c r="T50"/>
    </row>
    <row r="51" spans="1:20" ht="15">
      <c r="A51" s="32">
        <v>149</v>
      </c>
      <c r="B51" s="13" t="s">
        <v>56</v>
      </c>
      <c r="C51" s="15">
        <v>5379</v>
      </c>
      <c r="D51" s="15">
        <v>7972472.5100000007</v>
      </c>
      <c r="E51" s="15">
        <v>2216050.1279766504</v>
      </c>
      <c r="F51" s="231">
        <f>Yhteenveto[[#This Row],[Ikärakenne, laskennallinen kustannus]]+Yhteenveto[[#This Row],[Muut laskennalliset kustannukset ]]</f>
        <v>10188522.63797665</v>
      </c>
      <c r="G51" s="508">
        <v>1422.47</v>
      </c>
      <c r="H51" s="17">
        <v>7651466.1299999999</v>
      </c>
      <c r="I51" s="339">
        <f>Yhteenveto[[#This Row],[Laskennalliset kustannukset yhteensä]]-Yhteenveto[[#This Row],[Omarahoitusosuus, €]]</f>
        <v>2537056.5079766503</v>
      </c>
      <c r="J51" s="33">
        <v>181144.43363776815</v>
      </c>
      <c r="K51" s="34">
        <v>470447.69287331495</v>
      </c>
      <c r="L51" s="231">
        <f>Yhteenveto[[#This Row],[Valtionosuus omarahoitusosuuden jälkeen (välisumma)]]+Yhteenveto[[#This Row],[Lisäosat yhteensä]]+Yhteenveto[[#This Row],[Valtionosuuteen tehtävät vähennykset ja lisäykset, netto]]</f>
        <v>3188648.6344877332</v>
      </c>
      <c r="M51" s="34">
        <v>-54541.177890456958</v>
      </c>
      <c r="N51" s="303">
        <f>SUM(Yhteenveto[[#This Row],[Valtionosuus ennen verotuloihin perustuvaa valtionosuuden tasausta]]+Yhteenveto[[#This Row],[Verotuloihin perustuva valtionosuuden tasaus]])</f>
        <v>3134107.4565972765</v>
      </c>
      <c r="O51" s="241">
        <v>557059.59251294157</v>
      </c>
      <c r="P51" s="372">
        <f>SUM(Yhteenveto[[#This Row],[Kunnan  peruspalvelujen valtionosuus ]:[Veroperustemuutoksista johtuvien veromenetysten korvaus]])</f>
        <v>3691167.049110218</v>
      </c>
      <c r="Q51" s="34">
        <v>-2403489.6979999999</v>
      </c>
      <c r="R51" s="341">
        <f>+Yhteenveto[[#This Row],[Kunnan  peruspalvelujen valtionosuus ]]+Yhteenveto[[#This Row],[Veroperustemuutoksista johtuvien veromenetysten korvaus]]+Yhteenveto[[#This Row],[Kotikuntakorvaus, netto (ei päivitetty)]]</f>
        <v>1287677.3511102181</v>
      </c>
      <c r="S51" s="11"/>
      <c r="T51"/>
    </row>
    <row r="52" spans="1:20" ht="15">
      <c r="A52" s="32">
        <v>151</v>
      </c>
      <c r="B52" s="13" t="s">
        <v>57</v>
      </c>
      <c r="C52" s="15">
        <v>1814</v>
      </c>
      <c r="D52" s="15">
        <v>2109026.0100000002</v>
      </c>
      <c r="E52" s="15">
        <v>802609.16397656151</v>
      </c>
      <c r="F52" s="231">
        <f>Yhteenveto[[#This Row],[Ikärakenne, laskennallinen kustannus]]+Yhteenveto[[#This Row],[Muut laskennalliset kustannukset ]]</f>
        <v>2911635.173976562</v>
      </c>
      <c r="G52" s="508">
        <v>1422.47</v>
      </c>
      <c r="H52" s="17">
        <v>2580360.58</v>
      </c>
      <c r="I52" s="339">
        <f>Yhteenveto[[#This Row],[Laskennalliset kustannukset yhteensä]]-Yhteenveto[[#This Row],[Omarahoitusosuus, €]]</f>
        <v>331274.59397656191</v>
      </c>
      <c r="J52" s="33">
        <v>236120.78109572065</v>
      </c>
      <c r="K52" s="34">
        <v>-565685.28909411118</v>
      </c>
      <c r="L52" s="231">
        <f>Yhteenveto[[#This Row],[Valtionosuus omarahoitusosuuden jälkeen (välisumma)]]+Yhteenveto[[#This Row],[Lisäosat yhteensä]]+Yhteenveto[[#This Row],[Valtionosuuteen tehtävät vähennykset ja lisäykset, netto]]</f>
        <v>1710.0859781713225</v>
      </c>
      <c r="M52" s="34">
        <v>639316.20892159303</v>
      </c>
      <c r="N52" s="303">
        <f>SUM(Yhteenveto[[#This Row],[Valtionosuus ennen verotuloihin perustuvaa valtionosuuden tasausta]]+Yhteenveto[[#This Row],[Verotuloihin perustuva valtionosuuden tasaus]])</f>
        <v>641026.29489976435</v>
      </c>
      <c r="O52" s="241">
        <v>368091.75961563422</v>
      </c>
      <c r="P52" s="372">
        <f>SUM(Yhteenveto[[#This Row],[Kunnan  peruspalvelujen valtionosuus ]:[Veroperustemuutoksista johtuvien veromenetysten korvaus]])</f>
        <v>1009118.0545153986</v>
      </c>
      <c r="Q52" s="34">
        <v>0</v>
      </c>
      <c r="R52" s="341">
        <f>+Yhteenveto[[#This Row],[Kunnan  peruspalvelujen valtionosuus ]]+Yhteenveto[[#This Row],[Veroperustemuutoksista johtuvien veromenetysten korvaus]]+Yhteenveto[[#This Row],[Kotikuntakorvaus, netto (ei päivitetty)]]</f>
        <v>1009118.0545153986</v>
      </c>
      <c r="S52" s="11"/>
      <c r="T52"/>
    </row>
    <row r="53" spans="1:20" ht="15">
      <c r="A53" s="32">
        <v>152</v>
      </c>
      <c r="B53" s="13" t="s">
        <v>58</v>
      </c>
      <c r="C53" s="15">
        <v>4357</v>
      </c>
      <c r="D53" s="15">
        <v>6762928.7700000005</v>
      </c>
      <c r="E53" s="15">
        <v>825914.27592024102</v>
      </c>
      <c r="F53" s="231">
        <f>Yhteenveto[[#This Row],[Ikärakenne, laskennallinen kustannus]]+Yhteenveto[[#This Row],[Muut laskennalliset kustannukset ]]</f>
        <v>7588843.0459202416</v>
      </c>
      <c r="G53" s="508">
        <v>1422.47</v>
      </c>
      <c r="H53" s="17">
        <v>6197701.79</v>
      </c>
      <c r="I53" s="339">
        <f>Yhteenveto[[#This Row],[Laskennalliset kustannukset yhteensä]]-Yhteenveto[[#This Row],[Omarahoitusosuus, €]]</f>
        <v>1391141.2559202416</v>
      </c>
      <c r="J53" s="33">
        <v>116157.74571133612</v>
      </c>
      <c r="K53" s="34">
        <v>-158952.67852565914</v>
      </c>
      <c r="L53" s="231">
        <f>Yhteenveto[[#This Row],[Valtionosuus omarahoitusosuuden jälkeen (välisumma)]]+Yhteenveto[[#This Row],[Lisäosat yhteensä]]+Yhteenveto[[#This Row],[Valtionosuuteen tehtävät vähennykset ja lisäykset, netto]]</f>
        <v>1348346.3231059187</v>
      </c>
      <c r="M53" s="34">
        <v>2152006.1771872649</v>
      </c>
      <c r="N53" s="303">
        <f>SUM(Yhteenveto[[#This Row],[Valtionosuus ennen verotuloihin perustuvaa valtionosuuden tasausta]]+Yhteenveto[[#This Row],[Verotuloihin perustuva valtionosuuden tasaus]])</f>
        <v>3500352.5002931836</v>
      </c>
      <c r="O53" s="241">
        <v>604321.08359500067</v>
      </c>
      <c r="P53" s="372">
        <f>SUM(Yhteenveto[[#This Row],[Kunnan  peruspalvelujen valtionosuus ]:[Veroperustemuutoksista johtuvien veromenetysten korvaus]])</f>
        <v>4104673.5838881843</v>
      </c>
      <c r="Q53" s="34">
        <v>266146.04000000004</v>
      </c>
      <c r="R53" s="341">
        <f>+Yhteenveto[[#This Row],[Kunnan  peruspalvelujen valtionosuus ]]+Yhteenveto[[#This Row],[Veroperustemuutoksista johtuvien veromenetysten korvaus]]+Yhteenveto[[#This Row],[Kotikuntakorvaus, netto (ei päivitetty)]]</f>
        <v>4370819.6238881843</v>
      </c>
      <c r="S53" s="11"/>
      <c r="T53"/>
    </row>
    <row r="54" spans="1:20" ht="15">
      <c r="A54" s="32">
        <v>153</v>
      </c>
      <c r="B54" s="13" t="s">
        <v>59</v>
      </c>
      <c r="C54" s="15">
        <v>24919</v>
      </c>
      <c r="D54" s="15">
        <v>28910176.190000001</v>
      </c>
      <c r="E54" s="15">
        <v>9040901.3966261595</v>
      </c>
      <c r="F54" s="231">
        <f>Yhteenveto[[#This Row],[Ikärakenne, laskennallinen kustannus]]+Yhteenveto[[#This Row],[Muut laskennalliset kustannukset ]]</f>
        <v>37951077.586626157</v>
      </c>
      <c r="G54" s="508">
        <v>1422.47</v>
      </c>
      <c r="H54" s="17">
        <v>35446529.93</v>
      </c>
      <c r="I54" s="339">
        <f>Yhteenveto[[#This Row],[Laskennalliset kustannukset yhteensä]]-Yhteenveto[[#This Row],[Omarahoitusosuus, €]]</f>
        <v>2504547.6566261575</v>
      </c>
      <c r="J54" s="33">
        <v>784406.41817009565</v>
      </c>
      <c r="K54" s="34">
        <v>8885325.1129194498</v>
      </c>
      <c r="L54" s="231">
        <f>Yhteenveto[[#This Row],[Valtionosuus omarahoitusosuuden jälkeen (välisumma)]]+Yhteenveto[[#This Row],[Lisäosat yhteensä]]+Yhteenveto[[#This Row],[Valtionosuuteen tehtävät vähennykset ja lisäykset, netto]]</f>
        <v>12174279.187715702</v>
      </c>
      <c r="M54" s="34">
        <v>8220074.788324967</v>
      </c>
      <c r="N54" s="303">
        <f>SUM(Yhteenveto[[#This Row],[Valtionosuus ennen verotuloihin perustuvaa valtionosuuden tasausta]]+Yhteenveto[[#This Row],[Verotuloihin perustuva valtionosuuden tasaus]])</f>
        <v>20394353.976040669</v>
      </c>
      <c r="O54" s="241">
        <v>2363632.9472177485</v>
      </c>
      <c r="P54" s="372">
        <f>SUM(Yhteenveto[[#This Row],[Kunnan  peruspalvelujen valtionosuus ]:[Veroperustemuutoksista johtuvien veromenetysten korvaus]])</f>
        <v>22757986.923258416</v>
      </c>
      <c r="Q54" s="34">
        <v>-968119.64715000032</v>
      </c>
      <c r="R54" s="341">
        <f>+Yhteenveto[[#This Row],[Kunnan  peruspalvelujen valtionosuus ]]+Yhteenveto[[#This Row],[Veroperustemuutoksista johtuvien veromenetysten korvaus]]+Yhteenveto[[#This Row],[Kotikuntakorvaus, netto (ei päivitetty)]]</f>
        <v>21789867.276108418</v>
      </c>
      <c r="S54" s="11"/>
      <c r="T54"/>
    </row>
    <row r="55" spans="1:20" ht="15">
      <c r="A55" s="32">
        <v>165</v>
      </c>
      <c r="B55" s="13" t="s">
        <v>60</v>
      </c>
      <c r="C55" s="15">
        <v>16123</v>
      </c>
      <c r="D55" s="15">
        <v>25177130.619999997</v>
      </c>
      <c r="E55" s="15">
        <v>3523736.2506692428</v>
      </c>
      <c r="F55" s="231">
        <f>Yhteenveto[[#This Row],[Ikärakenne, laskennallinen kustannus]]+Yhteenveto[[#This Row],[Muut laskennalliset kustannukset ]]</f>
        <v>28700866.870669238</v>
      </c>
      <c r="G55" s="508">
        <v>1422.47</v>
      </c>
      <c r="H55" s="17">
        <v>22934483.809999999</v>
      </c>
      <c r="I55" s="339">
        <f>Yhteenveto[[#This Row],[Laskennalliset kustannukset yhteensä]]-Yhteenveto[[#This Row],[Omarahoitusosuus, €]]</f>
        <v>5766383.0606692396</v>
      </c>
      <c r="J55" s="33">
        <v>462031.00622784835</v>
      </c>
      <c r="K55" s="34">
        <v>-611237.92733552319</v>
      </c>
      <c r="L55" s="231">
        <f>Yhteenveto[[#This Row],[Valtionosuus omarahoitusosuuden jälkeen (välisumma)]]+Yhteenveto[[#This Row],[Lisäosat yhteensä]]+Yhteenveto[[#This Row],[Valtionosuuteen tehtävät vähennykset ja lisäykset, netto]]</f>
        <v>5617176.1395615647</v>
      </c>
      <c r="M55" s="34">
        <v>3939339.6004781509</v>
      </c>
      <c r="N55" s="303">
        <f>SUM(Yhteenveto[[#This Row],[Valtionosuus ennen verotuloihin perustuvaa valtionosuuden tasausta]]+Yhteenveto[[#This Row],[Verotuloihin perustuva valtionosuuden tasaus]])</f>
        <v>9556515.7400397155</v>
      </c>
      <c r="O55" s="241">
        <v>1442742.5626683075</v>
      </c>
      <c r="P55" s="372">
        <f>SUM(Yhteenveto[[#This Row],[Kunnan  peruspalvelujen valtionosuus ]:[Veroperustemuutoksista johtuvien veromenetysten korvaus]])</f>
        <v>10999258.302708022</v>
      </c>
      <c r="Q55" s="34">
        <v>287345.22850000038</v>
      </c>
      <c r="R55" s="341">
        <f>+Yhteenveto[[#This Row],[Kunnan  peruspalvelujen valtionosuus ]]+Yhteenveto[[#This Row],[Veroperustemuutoksista johtuvien veromenetysten korvaus]]+Yhteenveto[[#This Row],[Kotikuntakorvaus, netto (ei päivitetty)]]</f>
        <v>11286603.531208023</v>
      </c>
      <c r="S55" s="11"/>
      <c r="T55"/>
    </row>
    <row r="56" spans="1:20" ht="15">
      <c r="A56" s="32">
        <v>167</v>
      </c>
      <c r="B56" s="13" t="s">
        <v>61</v>
      </c>
      <c r="C56" s="15">
        <v>78062</v>
      </c>
      <c r="D56" s="15">
        <v>101891105.06</v>
      </c>
      <c r="E56" s="15">
        <v>26903929.79803519</v>
      </c>
      <c r="F56" s="231">
        <f>Yhteenveto[[#This Row],[Ikärakenne, laskennallinen kustannus]]+Yhteenveto[[#This Row],[Muut laskennalliset kustannukset ]]</f>
        <v>128795034.85803519</v>
      </c>
      <c r="G56" s="508">
        <v>1422.47</v>
      </c>
      <c r="H56" s="17">
        <v>111040853.14</v>
      </c>
      <c r="I56" s="339">
        <f>Yhteenveto[[#This Row],[Laskennalliset kustannukset yhteensä]]-Yhteenveto[[#This Row],[Omarahoitusosuus, €]]</f>
        <v>17754181.718035191</v>
      </c>
      <c r="J56" s="33">
        <v>3218679.1015684609</v>
      </c>
      <c r="K56" s="34">
        <v>-5236849.1953865113</v>
      </c>
      <c r="L56" s="231">
        <f>Yhteenveto[[#This Row],[Valtionosuus omarahoitusosuuden jälkeen (välisumma)]]+Yhteenveto[[#This Row],[Lisäosat yhteensä]]+Yhteenveto[[#This Row],[Valtionosuuteen tehtävät vähennykset ja lisäykset, netto]]</f>
        <v>15736011.624217141</v>
      </c>
      <c r="M56" s="34">
        <v>23307134.870543115</v>
      </c>
      <c r="N56" s="303">
        <f>SUM(Yhteenveto[[#This Row],[Valtionosuus ennen verotuloihin perustuvaa valtionosuuden tasausta]]+Yhteenveto[[#This Row],[Verotuloihin perustuva valtionosuuden tasaus]])</f>
        <v>39043146.49476026</v>
      </c>
      <c r="O56" s="241">
        <v>8178197.8319230787</v>
      </c>
      <c r="P56" s="372">
        <f>SUM(Yhteenveto[[#This Row],[Kunnan  peruspalvelujen valtionosuus ]:[Veroperustemuutoksista johtuvien veromenetysten korvaus]])</f>
        <v>47221344.326683342</v>
      </c>
      <c r="Q56" s="34">
        <v>-10350798.4255</v>
      </c>
      <c r="R56" s="341">
        <f>+Yhteenveto[[#This Row],[Kunnan  peruspalvelujen valtionosuus ]]+Yhteenveto[[#This Row],[Veroperustemuutoksista johtuvien veromenetysten korvaus]]+Yhteenveto[[#This Row],[Kotikuntakorvaus, netto (ei päivitetty)]]</f>
        <v>36870545.901183344</v>
      </c>
      <c r="S56" s="11"/>
      <c r="T56"/>
    </row>
    <row r="57" spans="1:20" ht="15">
      <c r="A57" s="32">
        <v>169</v>
      </c>
      <c r="B57" s="13" t="s">
        <v>62</v>
      </c>
      <c r="C57" s="15">
        <v>4916</v>
      </c>
      <c r="D57" s="15">
        <v>7199394.6100000003</v>
      </c>
      <c r="E57" s="15">
        <v>1043714.4798307311</v>
      </c>
      <c r="F57" s="231">
        <f>Yhteenveto[[#This Row],[Ikärakenne, laskennallinen kustannus]]+Yhteenveto[[#This Row],[Muut laskennalliset kustannukset ]]</f>
        <v>8243109.089830731</v>
      </c>
      <c r="G57" s="508">
        <v>1422.47</v>
      </c>
      <c r="H57" s="17">
        <v>6992862.5200000005</v>
      </c>
      <c r="I57" s="339">
        <f>Yhteenveto[[#This Row],[Laskennalliset kustannukset yhteensä]]-Yhteenveto[[#This Row],[Omarahoitusosuus, €]]</f>
        <v>1250246.5698307306</v>
      </c>
      <c r="J57" s="33">
        <v>132294.76877351277</v>
      </c>
      <c r="K57" s="34">
        <v>140222.86053779218</v>
      </c>
      <c r="L57" s="231">
        <f>Yhteenveto[[#This Row],[Valtionosuus omarahoitusosuuden jälkeen (välisumma)]]+Yhteenveto[[#This Row],[Lisäosat yhteensä]]+Yhteenveto[[#This Row],[Valtionosuuteen tehtävät vähennykset ja lisäykset, netto]]</f>
        <v>1522764.1991420353</v>
      </c>
      <c r="M57" s="34">
        <v>1984125.2527584783</v>
      </c>
      <c r="N57" s="303">
        <f>SUM(Yhteenveto[[#This Row],[Valtionosuus ennen verotuloihin perustuvaa valtionosuuden tasausta]]+Yhteenveto[[#This Row],[Verotuloihin perustuva valtionosuuden tasaus]])</f>
        <v>3506889.4519005138</v>
      </c>
      <c r="O57" s="241">
        <v>541154.77081354591</v>
      </c>
      <c r="P57" s="372">
        <f>SUM(Yhteenveto[[#This Row],[Kunnan  peruspalvelujen valtionosuus ]:[Veroperustemuutoksista johtuvien veromenetysten korvaus]])</f>
        <v>4048044.22271406</v>
      </c>
      <c r="Q57" s="34">
        <v>76084.349999999977</v>
      </c>
      <c r="R57" s="341">
        <f>+Yhteenveto[[#This Row],[Kunnan  peruspalvelujen valtionosuus ]]+Yhteenveto[[#This Row],[Veroperustemuutoksista johtuvien veromenetysten korvaus]]+Yhteenveto[[#This Row],[Kotikuntakorvaus, netto (ei päivitetty)]]</f>
        <v>4124128.5727140601</v>
      </c>
      <c r="S57" s="11"/>
      <c r="T57"/>
    </row>
    <row r="58" spans="1:20" ht="15">
      <c r="A58" s="32">
        <v>171</v>
      </c>
      <c r="B58" s="13" t="s">
        <v>63</v>
      </c>
      <c r="C58" s="15">
        <v>4590</v>
      </c>
      <c r="D58" s="15">
        <v>6194499.370000001</v>
      </c>
      <c r="E58" s="15">
        <v>1520287.3047095975</v>
      </c>
      <c r="F58" s="231">
        <f>Yhteenveto[[#This Row],[Ikärakenne, laskennallinen kustannus]]+Yhteenveto[[#This Row],[Muut laskennalliset kustannukset ]]</f>
        <v>7714786.6747095985</v>
      </c>
      <c r="G58" s="508">
        <v>1422.47</v>
      </c>
      <c r="H58" s="17">
        <v>6529137.2999999998</v>
      </c>
      <c r="I58" s="339">
        <f>Yhteenveto[[#This Row],[Laskennalliset kustannukset yhteensä]]-Yhteenveto[[#This Row],[Omarahoitusosuus, €]]</f>
        <v>1185649.3747095987</v>
      </c>
      <c r="J58" s="33">
        <v>157690.27480552552</v>
      </c>
      <c r="K58" s="34">
        <v>-239959.2503315222</v>
      </c>
      <c r="L58" s="231">
        <f>Yhteenveto[[#This Row],[Valtionosuus omarahoitusosuuden jälkeen (välisumma)]]+Yhteenveto[[#This Row],[Lisäosat yhteensä]]+Yhteenveto[[#This Row],[Valtionosuuteen tehtävät vähennykset ja lisäykset, netto]]</f>
        <v>1103380.3991836021</v>
      </c>
      <c r="M58" s="34">
        <v>1567009.2135594843</v>
      </c>
      <c r="N58" s="303">
        <f>SUM(Yhteenveto[[#This Row],[Valtionosuus ennen verotuloihin perustuvaa valtionosuuden tasausta]]+Yhteenveto[[#This Row],[Verotuloihin perustuva valtionosuuden tasaus]])</f>
        <v>2670389.6127430862</v>
      </c>
      <c r="O58" s="241">
        <v>660500.4935014525</v>
      </c>
      <c r="P58" s="372">
        <f>SUM(Yhteenveto[[#This Row],[Kunnan  peruspalvelujen valtionosuus ]:[Veroperustemuutoksista johtuvien veromenetysten korvaus]])</f>
        <v>3330890.1062445389</v>
      </c>
      <c r="Q58" s="34">
        <v>7608.4350000000013</v>
      </c>
      <c r="R58" s="341">
        <f>+Yhteenveto[[#This Row],[Kunnan  peruspalvelujen valtionosuus ]]+Yhteenveto[[#This Row],[Veroperustemuutoksista johtuvien veromenetysten korvaus]]+Yhteenveto[[#This Row],[Kotikuntakorvaus, netto (ei päivitetty)]]</f>
        <v>3338498.541244539</v>
      </c>
      <c r="S58" s="11"/>
      <c r="T58"/>
    </row>
    <row r="59" spans="1:20" ht="15">
      <c r="A59" s="32">
        <v>172</v>
      </c>
      <c r="B59" s="13" t="s">
        <v>64</v>
      </c>
      <c r="C59" s="15">
        <v>4079</v>
      </c>
      <c r="D59" s="15">
        <v>4295971.54</v>
      </c>
      <c r="E59" s="15">
        <v>1665508.9704829906</v>
      </c>
      <c r="F59" s="231">
        <f>Yhteenveto[[#This Row],[Ikärakenne, laskennallinen kustannus]]+Yhteenveto[[#This Row],[Muut laskennalliset kustannukset ]]</f>
        <v>5961480.5104829911</v>
      </c>
      <c r="G59" s="508">
        <v>1422.47</v>
      </c>
      <c r="H59" s="17">
        <v>5802255.1299999999</v>
      </c>
      <c r="I59" s="339">
        <f>Yhteenveto[[#This Row],[Laskennalliset kustannukset yhteensä]]-Yhteenveto[[#This Row],[Omarahoitusosuus, €]]</f>
        <v>159225.38048299123</v>
      </c>
      <c r="J59" s="33">
        <v>681048.78395446658</v>
      </c>
      <c r="K59" s="34">
        <v>-193134.9990717438</v>
      </c>
      <c r="L59" s="231">
        <f>Yhteenveto[[#This Row],[Valtionosuus omarahoitusosuuden jälkeen (välisumma)]]+Yhteenveto[[#This Row],[Lisäosat yhteensä]]+Yhteenveto[[#This Row],[Valtionosuuteen tehtävät vähennykset ja lisäykset, netto]]</f>
        <v>647139.165365714</v>
      </c>
      <c r="M59" s="34">
        <v>1809951.7351774191</v>
      </c>
      <c r="N59" s="303">
        <f>SUM(Yhteenveto[[#This Row],[Valtionosuus ennen verotuloihin perustuvaa valtionosuuden tasausta]]+Yhteenveto[[#This Row],[Verotuloihin perustuva valtionosuuden tasaus]])</f>
        <v>2457090.9005431333</v>
      </c>
      <c r="O59" s="241">
        <v>707964.21234266763</v>
      </c>
      <c r="P59" s="372">
        <f>SUM(Yhteenveto[[#This Row],[Kunnan  peruspalvelujen valtionosuus ]:[Veroperustemuutoksista johtuvien veromenetysten korvaus]])</f>
        <v>3165055.1128858011</v>
      </c>
      <c r="Q59" s="34">
        <v>-55228.287000000011</v>
      </c>
      <c r="R59" s="341">
        <f>+Yhteenveto[[#This Row],[Kunnan  peruspalvelujen valtionosuus ]]+Yhteenveto[[#This Row],[Veroperustemuutoksista johtuvien veromenetysten korvaus]]+Yhteenveto[[#This Row],[Kotikuntakorvaus, netto (ei päivitetty)]]</f>
        <v>3109826.8258858011</v>
      </c>
      <c r="S59" s="11"/>
      <c r="T59"/>
    </row>
    <row r="60" spans="1:20" ht="15">
      <c r="A60" s="32">
        <v>176</v>
      </c>
      <c r="B60" s="13" t="s">
        <v>65</v>
      </c>
      <c r="C60" s="15">
        <v>4259</v>
      </c>
      <c r="D60" s="15">
        <v>4133744.3700000006</v>
      </c>
      <c r="E60" s="15">
        <v>2387102.8205646947</v>
      </c>
      <c r="F60" s="231">
        <f>Yhteenveto[[#This Row],[Ikärakenne, laskennallinen kustannus]]+Yhteenveto[[#This Row],[Muut laskennalliset kustannukset ]]</f>
        <v>6520847.1905646957</v>
      </c>
      <c r="G60" s="508">
        <v>1422.47</v>
      </c>
      <c r="H60" s="17">
        <v>6058299.7300000004</v>
      </c>
      <c r="I60" s="339">
        <f>Yhteenveto[[#This Row],[Laskennalliset kustannukset yhteensä]]-Yhteenveto[[#This Row],[Omarahoitusosuus, €]]</f>
        <v>462547.4605646953</v>
      </c>
      <c r="J60" s="33">
        <v>1377786.5067262817</v>
      </c>
      <c r="K60" s="34">
        <v>-2211542.0854625469</v>
      </c>
      <c r="L60" s="231">
        <f>Yhteenveto[[#This Row],[Valtionosuus omarahoitusosuuden jälkeen (välisumma)]]+Yhteenveto[[#This Row],[Lisäosat yhteensä]]+Yhteenveto[[#This Row],[Valtionosuuteen tehtävät vähennykset ja lisäykset, netto]]</f>
        <v>-371208.11817156989</v>
      </c>
      <c r="M60" s="34">
        <v>2408269.524865963</v>
      </c>
      <c r="N60" s="303">
        <f>SUM(Yhteenveto[[#This Row],[Valtionosuus ennen verotuloihin perustuvaa valtionosuuden tasausta]]+Yhteenveto[[#This Row],[Verotuloihin perustuva valtionosuuden tasaus]])</f>
        <v>2037061.4066943931</v>
      </c>
      <c r="O60" s="241">
        <v>771682.12187272147</v>
      </c>
      <c r="P60" s="372">
        <f>SUM(Yhteenveto[[#This Row],[Kunnan  peruspalvelujen valtionosuus ]:[Veroperustemuutoksista johtuvien veromenetysten korvaus]])</f>
        <v>2808743.5285671148</v>
      </c>
      <c r="Q60" s="34">
        <v>-261222.935</v>
      </c>
      <c r="R60" s="341">
        <f>+Yhteenveto[[#This Row],[Kunnan  peruspalvelujen valtionosuus ]]+Yhteenveto[[#This Row],[Veroperustemuutoksista johtuvien veromenetysten korvaus]]+Yhteenveto[[#This Row],[Kotikuntakorvaus, netto (ei päivitetty)]]</f>
        <v>2547520.5935671148</v>
      </c>
      <c r="S60" s="11"/>
      <c r="T60"/>
    </row>
    <row r="61" spans="1:20" ht="15">
      <c r="A61" s="32">
        <v>177</v>
      </c>
      <c r="B61" s="13" t="s">
        <v>66</v>
      </c>
      <c r="C61" s="15">
        <v>1708</v>
      </c>
      <c r="D61" s="15">
        <v>2384768.1</v>
      </c>
      <c r="E61" s="15">
        <v>455885.14669991017</v>
      </c>
      <c r="F61" s="231">
        <f>Yhteenveto[[#This Row],[Ikärakenne, laskennallinen kustannus]]+Yhteenveto[[#This Row],[Muut laskennalliset kustannukset ]]</f>
        <v>2840653.2466999101</v>
      </c>
      <c r="G61" s="508">
        <v>1422.47</v>
      </c>
      <c r="H61" s="17">
        <v>2429578.7600000002</v>
      </c>
      <c r="I61" s="339">
        <f>Yhteenveto[[#This Row],[Laskennalliset kustannukset yhteensä]]-Yhteenveto[[#This Row],[Omarahoitusosuus, €]]</f>
        <v>411074.4866999099</v>
      </c>
      <c r="J61" s="33">
        <v>126454.54854946022</v>
      </c>
      <c r="K61" s="34">
        <v>568769.61749682552</v>
      </c>
      <c r="L61" s="231">
        <f>Yhteenveto[[#This Row],[Valtionosuus omarahoitusosuuden jälkeen (välisumma)]]+Yhteenveto[[#This Row],[Lisäosat yhteensä]]+Yhteenveto[[#This Row],[Valtionosuuteen tehtävät vähennykset ja lisäykset, netto]]</f>
        <v>1106298.6527461957</v>
      </c>
      <c r="M61" s="34">
        <v>207194.32640322833</v>
      </c>
      <c r="N61" s="303">
        <f>SUM(Yhteenveto[[#This Row],[Valtionosuus ennen verotuloihin perustuvaa valtionosuuden tasausta]]+Yhteenveto[[#This Row],[Verotuloihin perustuva valtionosuuden tasaus]])</f>
        <v>1313492.979149424</v>
      </c>
      <c r="O61" s="241">
        <v>272751.56610402418</v>
      </c>
      <c r="P61" s="372">
        <f>SUM(Yhteenveto[[#This Row],[Kunnan  peruspalvelujen valtionosuus ]:[Veroperustemuutoksista johtuvien veromenetysten korvaus]])</f>
        <v>1586244.5452534482</v>
      </c>
      <c r="Q61" s="34">
        <v>96134.813999999969</v>
      </c>
      <c r="R61" s="341">
        <f>+Yhteenveto[[#This Row],[Kunnan  peruspalvelujen valtionosuus ]]+Yhteenveto[[#This Row],[Veroperustemuutoksista johtuvien veromenetysten korvaus]]+Yhteenveto[[#This Row],[Kotikuntakorvaus, netto (ei päivitetty)]]</f>
        <v>1682379.3592534482</v>
      </c>
      <c r="S61" s="11"/>
      <c r="T61"/>
    </row>
    <row r="62" spans="1:20" ht="15">
      <c r="A62" s="32">
        <v>178</v>
      </c>
      <c r="B62" s="13" t="s">
        <v>67</v>
      </c>
      <c r="C62" s="15">
        <v>5734</v>
      </c>
      <c r="D62" s="15">
        <v>6444317.6000000006</v>
      </c>
      <c r="E62" s="15">
        <v>1965198.3752024372</v>
      </c>
      <c r="F62" s="231">
        <f>Yhteenveto[[#This Row],[Ikärakenne, laskennallinen kustannus]]+Yhteenveto[[#This Row],[Muut laskennalliset kustannukset ]]</f>
        <v>8409515.9752024375</v>
      </c>
      <c r="G62" s="508">
        <v>1422.47</v>
      </c>
      <c r="H62" s="17">
        <v>8156442.9800000004</v>
      </c>
      <c r="I62" s="339">
        <f>Yhteenveto[[#This Row],[Laskennalliset kustannukset yhteensä]]-Yhteenveto[[#This Row],[Omarahoitusosuus, €]]</f>
        <v>253072.99520243704</v>
      </c>
      <c r="J62" s="33">
        <v>470842.21620058193</v>
      </c>
      <c r="K62" s="34">
        <v>231970.37675828018</v>
      </c>
      <c r="L62" s="231">
        <f>Yhteenveto[[#This Row],[Valtionosuus omarahoitusosuuden jälkeen (välisumma)]]+Yhteenveto[[#This Row],[Lisäosat yhteensä]]+Yhteenveto[[#This Row],[Valtionosuuteen tehtävät vähennykset ja lisäykset, netto]]</f>
        <v>955885.58816129924</v>
      </c>
      <c r="M62" s="34">
        <v>2567090.8422550554</v>
      </c>
      <c r="N62" s="303">
        <f>SUM(Yhteenveto[[#This Row],[Valtionosuus ennen verotuloihin perustuvaa valtionosuuden tasausta]]+Yhteenveto[[#This Row],[Verotuloihin perustuva valtionosuuden tasaus]])</f>
        <v>3522976.4304163549</v>
      </c>
      <c r="O62" s="241">
        <v>1039996.2107316088</v>
      </c>
      <c r="P62" s="372">
        <f>SUM(Yhteenveto[[#This Row],[Kunnan  peruspalvelujen valtionosuus ]:[Veroperustemuutoksista johtuvien veromenetysten korvaus]])</f>
        <v>4562972.6411479637</v>
      </c>
      <c r="Q62" s="34">
        <v>17350.215500000006</v>
      </c>
      <c r="R62" s="341">
        <f>+Yhteenveto[[#This Row],[Kunnan  peruspalvelujen valtionosuus ]]+Yhteenveto[[#This Row],[Veroperustemuutoksista johtuvien veromenetysten korvaus]]+Yhteenveto[[#This Row],[Kotikuntakorvaus, netto (ei päivitetty)]]</f>
        <v>4580322.8566479636</v>
      </c>
      <c r="S62" s="11"/>
      <c r="T62"/>
    </row>
    <row r="63" spans="1:20" ht="15">
      <c r="A63" s="32">
        <v>179</v>
      </c>
      <c r="B63" s="13" t="s">
        <v>68</v>
      </c>
      <c r="C63" s="15">
        <v>147746</v>
      </c>
      <c r="D63" s="15">
        <v>212549737.59</v>
      </c>
      <c r="E63" s="15">
        <v>45892623.761635594</v>
      </c>
      <c r="F63" s="231">
        <f>Yhteenveto[[#This Row],[Ikärakenne, laskennallinen kustannus]]+Yhteenveto[[#This Row],[Muut laskennalliset kustannukset ]]</f>
        <v>258442361.35163561</v>
      </c>
      <c r="G63" s="508">
        <v>1422.47</v>
      </c>
      <c r="H63" s="17">
        <v>210164252.62</v>
      </c>
      <c r="I63" s="339">
        <f>Yhteenveto[[#This Row],[Laskennalliset kustannukset yhteensä]]-Yhteenveto[[#This Row],[Omarahoitusosuus, €]]</f>
        <v>48278108.7316356</v>
      </c>
      <c r="J63" s="33">
        <v>6814429.7037766613</v>
      </c>
      <c r="K63" s="34">
        <v>-32872292.993438557</v>
      </c>
      <c r="L63" s="231">
        <f>Yhteenveto[[#This Row],[Valtionosuus omarahoitusosuuden jälkeen (välisumma)]]+Yhteenveto[[#This Row],[Lisäosat yhteensä]]+Yhteenveto[[#This Row],[Valtionosuuteen tehtävät vähennykset ja lisäykset, netto]]</f>
        <v>22220245.441973701</v>
      </c>
      <c r="M63" s="34">
        <v>36918085.234132886</v>
      </c>
      <c r="N63" s="303">
        <f>SUM(Yhteenveto[[#This Row],[Valtionosuus ennen verotuloihin perustuvaa valtionosuuden tasausta]]+Yhteenveto[[#This Row],[Verotuloihin perustuva valtionosuuden tasaus]])</f>
        <v>59138330.676106587</v>
      </c>
      <c r="O63" s="241">
        <v>12474196.504651826</v>
      </c>
      <c r="P63" s="372">
        <f>SUM(Yhteenveto[[#This Row],[Kunnan  peruspalvelujen valtionosuus ]:[Veroperustemuutoksista johtuvien veromenetysten korvaus]])</f>
        <v>71612527.180758417</v>
      </c>
      <c r="Q63" s="34">
        <v>-10775374.459950004</v>
      </c>
      <c r="R63" s="341">
        <f>+Yhteenveto[[#This Row],[Kunnan  peruspalvelujen valtionosuus ]]+Yhteenveto[[#This Row],[Veroperustemuutoksista johtuvien veromenetysten korvaus]]+Yhteenveto[[#This Row],[Kotikuntakorvaus, netto (ei päivitetty)]]</f>
        <v>60837152.720808417</v>
      </c>
      <c r="S63" s="11"/>
      <c r="T63"/>
    </row>
    <row r="64" spans="1:20" ht="15">
      <c r="A64" s="32">
        <v>181</v>
      </c>
      <c r="B64" s="13" t="s">
        <v>69</v>
      </c>
      <c r="C64" s="15">
        <v>1682</v>
      </c>
      <c r="D64" s="15">
        <v>2421319.5100000002</v>
      </c>
      <c r="E64" s="15">
        <v>449006.64174384868</v>
      </c>
      <c r="F64" s="231">
        <f>Yhteenveto[[#This Row],[Ikärakenne, laskennallinen kustannus]]+Yhteenveto[[#This Row],[Muut laskennalliset kustannukset ]]</f>
        <v>2870326.1517438488</v>
      </c>
      <c r="G64" s="508">
        <v>1422.47</v>
      </c>
      <c r="H64" s="17">
        <v>2392594.54</v>
      </c>
      <c r="I64" s="339">
        <f>Yhteenveto[[#This Row],[Laskennalliset kustannukset yhteensä]]-Yhteenveto[[#This Row],[Omarahoitusosuus, €]]</f>
        <v>477731.61174384877</v>
      </c>
      <c r="J64" s="33">
        <v>90001.207280512928</v>
      </c>
      <c r="K64" s="34">
        <v>528709.24508432788</v>
      </c>
      <c r="L64" s="231">
        <f>Yhteenveto[[#This Row],[Valtionosuus omarahoitusosuuden jälkeen (välisumma)]]+Yhteenveto[[#This Row],[Lisäosat yhteensä]]+Yhteenveto[[#This Row],[Valtionosuuteen tehtävät vähennykset ja lisäykset, netto]]</f>
        <v>1096442.0641086895</v>
      </c>
      <c r="M64" s="34">
        <v>931043.20429856598</v>
      </c>
      <c r="N64" s="303">
        <f>SUM(Yhteenveto[[#This Row],[Valtionosuus ennen verotuloihin perustuvaa valtionosuuden tasausta]]+Yhteenveto[[#This Row],[Verotuloihin perustuva valtionosuuden tasaus]])</f>
        <v>2027485.2684072554</v>
      </c>
      <c r="O64" s="241">
        <v>297580.53447451466</v>
      </c>
      <c r="P64" s="372">
        <f>SUM(Yhteenveto[[#This Row],[Kunnan  peruspalvelujen valtionosuus ]:[Veroperustemuutoksista johtuvien veromenetysten korvaus]])</f>
        <v>2325065.8028817698</v>
      </c>
      <c r="Q64" s="34">
        <v>65641.400000000009</v>
      </c>
      <c r="R64" s="341">
        <f>+Yhteenveto[[#This Row],[Kunnan  peruspalvelujen valtionosuus ]]+Yhteenveto[[#This Row],[Veroperustemuutoksista johtuvien veromenetysten korvaus]]+Yhteenveto[[#This Row],[Kotikuntakorvaus, netto (ei päivitetty)]]</f>
        <v>2390707.2028817697</v>
      </c>
      <c r="S64" s="11"/>
      <c r="T64"/>
    </row>
    <row r="65" spans="1:20" ht="15">
      <c r="A65" s="32">
        <v>182</v>
      </c>
      <c r="B65" s="13" t="s">
        <v>70</v>
      </c>
      <c r="C65" s="15">
        <v>19182</v>
      </c>
      <c r="D65" s="15">
        <v>23262034.120000001</v>
      </c>
      <c r="E65" s="15">
        <v>5918040.3737647263</v>
      </c>
      <c r="F65" s="231">
        <f>Yhteenveto[[#This Row],[Ikärakenne, laskennallinen kustannus]]+Yhteenveto[[#This Row],[Muut laskennalliset kustannukset ]]</f>
        <v>29180074.493764728</v>
      </c>
      <c r="G65" s="508">
        <v>1422.47</v>
      </c>
      <c r="H65" s="17">
        <v>27285819.539999999</v>
      </c>
      <c r="I65" s="339">
        <f>Yhteenveto[[#This Row],[Laskennalliset kustannukset yhteensä]]-Yhteenveto[[#This Row],[Omarahoitusosuus, €]]</f>
        <v>1894254.9537647292</v>
      </c>
      <c r="J65" s="33">
        <v>921399.81992841978</v>
      </c>
      <c r="K65" s="34">
        <v>-2515609.2982908352</v>
      </c>
      <c r="L65" s="231">
        <f>Yhteenveto[[#This Row],[Valtionosuus omarahoitusosuuden jälkeen (välisumma)]]+Yhteenveto[[#This Row],[Lisäosat yhteensä]]+Yhteenveto[[#This Row],[Valtionosuuteen tehtävät vähennykset ja lisäykset, netto]]</f>
        <v>300045.47540231375</v>
      </c>
      <c r="M65" s="34">
        <v>3150162.0059419577</v>
      </c>
      <c r="N65" s="303">
        <f>SUM(Yhteenveto[[#This Row],[Valtionosuus ennen verotuloihin perustuvaa valtionosuuden tasausta]]+Yhteenveto[[#This Row],[Verotuloihin perustuva valtionosuuden tasaus]])</f>
        <v>3450207.4813442715</v>
      </c>
      <c r="O65" s="241">
        <v>1997713.3010734983</v>
      </c>
      <c r="P65" s="372">
        <f>SUM(Yhteenveto[[#This Row],[Kunnan  peruspalvelujen valtionosuus ]:[Veroperustemuutoksista johtuvien veromenetysten korvaus]])</f>
        <v>5447920.7824177695</v>
      </c>
      <c r="Q65" s="34">
        <v>-249855.038</v>
      </c>
      <c r="R65" s="341">
        <f>+Yhteenveto[[#This Row],[Kunnan  peruspalvelujen valtionosuus ]]+Yhteenveto[[#This Row],[Veroperustemuutoksista johtuvien veromenetysten korvaus]]+Yhteenveto[[#This Row],[Kotikuntakorvaus, netto (ei päivitetty)]]</f>
        <v>5198065.7444177698</v>
      </c>
      <c r="S65" s="11"/>
      <c r="T65"/>
    </row>
    <row r="66" spans="1:20" ht="15">
      <c r="A66" s="32">
        <v>186</v>
      </c>
      <c r="B66" s="13" t="s">
        <v>71</v>
      </c>
      <c r="C66" s="15">
        <v>46490</v>
      </c>
      <c r="D66" s="15">
        <v>75532385.709999979</v>
      </c>
      <c r="E66" s="15">
        <v>14058287.389503185</v>
      </c>
      <c r="F66" s="231">
        <f>Yhteenveto[[#This Row],[Ikärakenne, laskennallinen kustannus]]+Yhteenveto[[#This Row],[Muut laskennalliset kustannukset ]]</f>
        <v>89590673.09950316</v>
      </c>
      <c r="G66" s="508">
        <v>1422.47</v>
      </c>
      <c r="H66" s="17">
        <v>66130630.300000004</v>
      </c>
      <c r="I66" s="339">
        <f>Yhteenveto[[#This Row],[Laskennalliset kustannukset yhteensä]]-Yhteenveto[[#This Row],[Omarahoitusosuus, €]]</f>
        <v>23460042.799503155</v>
      </c>
      <c r="J66" s="33">
        <v>2091877.7312295078</v>
      </c>
      <c r="K66" s="34">
        <v>-13632726.05181429</v>
      </c>
      <c r="L66" s="231">
        <f>Yhteenveto[[#This Row],[Valtionosuus omarahoitusosuuden jälkeen (välisumma)]]+Yhteenveto[[#This Row],[Lisäosat yhteensä]]+Yhteenveto[[#This Row],[Valtionosuuteen tehtävät vähennykset ja lisäykset, netto]]</f>
        <v>11919194.478918372</v>
      </c>
      <c r="M66" s="34">
        <v>799775.84668358567</v>
      </c>
      <c r="N66" s="303">
        <f>SUM(Yhteenveto[[#This Row],[Valtionosuus ennen verotuloihin perustuvaa valtionosuuden tasausta]]+Yhteenveto[[#This Row],[Verotuloihin perustuva valtionosuuden tasaus]])</f>
        <v>12718970.325601958</v>
      </c>
      <c r="O66" s="241">
        <v>2790868.7919819523</v>
      </c>
      <c r="P66" s="372">
        <f>SUM(Yhteenveto[[#This Row],[Kunnan  peruspalvelujen valtionosuus ]:[Veroperustemuutoksista johtuvien veromenetysten korvaus]])</f>
        <v>15509839.11758391</v>
      </c>
      <c r="Q66" s="34">
        <v>-2565030.1997000002</v>
      </c>
      <c r="R66" s="341">
        <f>+Yhteenveto[[#This Row],[Kunnan  peruspalvelujen valtionosuus ]]+Yhteenveto[[#This Row],[Veroperustemuutoksista johtuvien veromenetysten korvaus]]+Yhteenveto[[#This Row],[Kotikuntakorvaus, netto (ei päivitetty)]]</f>
        <v>12944808.91788391</v>
      </c>
      <c r="S66" s="11"/>
      <c r="T66"/>
    </row>
    <row r="67" spans="1:20" ht="15">
      <c r="A67" s="32">
        <v>202</v>
      </c>
      <c r="B67" s="13" t="s">
        <v>72</v>
      </c>
      <c r="C67" s="15">
        <v>36339</v>
      </c>
      <c r="D67" s="15">
        <v>65522995.670000002</v>
      </c>
      <c r="E67" s="15">
        <v>7619588.1833914071</v>
      </c>
      <c r="F67" s="231">
        <f>Yhteenveto[[#This Row],[Ikärakenne, laskennallinen kustannus]]+Yhteenveto[[#This Row],[Muut laskennalliset kustannukset ]]</f>
        <v>73142583.853391409</v>
      </c>
      <c r="G67" s="508">
        <v>1422.47</v>
      </c>
      <c r="H67" s="17">
        <v>51691137.329999998</v>
      </c>
      <c r="I67" s="339">
        <f>Yhteenveto[[#This Row],[Laskennalliset kustannukset yhteensä]]-Yhteenveto[[#This Row],[Omarahoitusosuus, €]]</f>
        <v>21451446.523391411</v>
      </c>
      <c r="J67" s="33">
        <v>1619625.0089923684</v>
      </c>
      <c r="K67" s="34">
        <v>4671298.5585068315</v>
      </c>
      <c r="L67" s="231">
        <f>Yhteenveto[[#This Row],[Valtionosuus omarahoitusosuuden jälkeen (välisumma)]]+Yhteenveto[[#This Row],[Lisäosat yhteensä]]+Yhteenveto[[#This Row],[Valtionosuuteen tehtävät vähennykset ja lisäykset, netto]]</f>
        <v>27742370.090890609</v>
      </c>
      <c r="M67" s="34">
        <v>469348.44643642299</v>
      </c>
      <c r="N67" s="303">
        <f>SUM(Yhteenveto[[#This Row],[Valtionosuus ennen verotuloihin perustuvaa valtionosuuden tasausta]]+Yhteenveto[[#This Row],[Verotuloihin perustuva valtionosuuden tasaus]])</f>
        <v>28211718.537327033</v>
      </c>
      <c r="O67" s="241">
        <v>1714766.632498268</v>
      </c>
      <c r="P67" s="372">
        <f>SUM(Yhteenveto[[#This Row],[Kunnan  peruspalvelujen valtionosuus ]:[Veroperustemuutoksista johtuvien veromenetysten korvaus]])</f>
        <v>29926485.169825301</v>
      </c>
      <c r="Q67" s="34">
        <v>-2393264.5580999991</v>
      </c>
      <c r="R67" s="341">
        <f>+Yhteenveto[[#This Row],[Kunnan  peruspalvelujen valtionosuus ]]+Yhteenveto[[#This Row],[Veroperustemuutoksista johtuvien veromenetysten korvaus]]+Yhteenveto[[#This Row],[Kotikuntakorvaus, netto (ei päivitetty)]]</f>
        <v>27533220.611725301</v>
      </c>
      <c r="S67" s="11"/>
      <c r="T67"/>
    </row>
    <row r="68" spans="1:20" ht="15">
      <c r="A68" s="32">
        <v>204</v>
      </c>
      <c r="B68" s="13" t="s">
        <v>73</v>
      </c>
      <c r="C68" s="15">
        <v>2628</v>
      </c>
      <c r="D68" s="15">
        <v>2751218.8200000003</v>
      </c>
      <c r="E68" s="15">
        <v>1086900.5379491446</v>
      </c>
      <c r="F68" s="231">
        <f>Yhteenveto[[#This Row],[Ikärakenne, laskennallinen kustannus]]+Yhteenveto[[#This Row],[Muut laskennalliset kustannukset ]]</f>
        <v>3838119.3579491451</v>
      </c>
      <c r="G68" s="508">
        <v>1422.47</v>
      </c>
      <c r="H68" s="17">
        <v>3738251.16</v>
      </c>
      <c r="I68" s="339">
        <f>Yhteenveto[[#This Row],[Laskennalliset kustannukset yhteensä]]-Yhteenveto[[#This Row],[Omarahoitusosuus, €]]</f>
        <v>99868.197949144989</v>
      </c>
      <c r="J68" s="33">
        <v>376376.46840607439</v>
      </c>
      <c r="K68" s="34">
        <v>-1869593.9851243643</v>
      </c>
      <c r="L68" s="231">
        <f>Yhteenveto[[#This Row],[Valtionosuus omarahoitusosuuden jälkeen (välisumma)]]+Yhteenveto[[#This Row],[Lisäosat yhteensä]]+Yhteenveto[[#This Row],[Valtionosuuteen tehtävät vähennykset ja lisäykset, netto]]</f>
        <v>-1393349.3187691448</v>
      </c>
      <c r="M68" s="34">
        <v>1251345.0744934788</v>
      </c>
      <c r="N68" s="303">
        <f>SUM(Yhteenveto[[#This Row],[Valtionosuus ennen verotuloihin perustuvaa valtionosuuden tasausta]]+Yhteenveto[[#This Row],[Verotuloihin perustuva valtionosuuden tasaus]])</f>
        <v>-142004.24427566607</v>
      </c>
      <c r="O68" s="241">
        <v>449533.2811149247</v>
      </c>
      <c r="P68" s="372">
        <f>SUM(Yhteenveto[[#This Row],[Kunnan  peruspalvelujen valtionosuus ]:[Veroperustemuutoksista johtuvien veromenetysten korvaus]])</f>
        <v>307529.03683925862</v>
      </c>
      <c r="Q68" s="34">
        <v>-830896.3004500001</v>
      </c>
      <c r="R68" s="341">
        <f>+Yhteenveto[[#This Row],[Kunnan  peruspalvelujen valtionosuus ]]+Yhteenveto[[#This Row],[Veroperustemuutoksista johtuvien veromenetysten korvaus]]+Yhteenveto[[#This Row],[Kotikuntakorvaus, netto (ei päivitetty)]]</f>
        <v>-523367.26361074147</v>
      </c>
      <c r="S68" s="11"/>
      <c r="T68"/>
    </row>
    <row r="69" spans="1:20" ht="15">
      <c r="A69" s="32">
        <v>205</v>
      </c>
      <c r="B69" s="13" t="s">
        <v>74</v>
      </c>
      <c r="C69" s="15">
        <v>36513</v>
      </c>
      <c r="D69" s="15">
        <v>55289305.699999996</v>
      </c>
      <c r="E69" s="15">
        <v>11074402.119746652</v>
      </c>
      <c r="F69" s="231">
        <f>Yhteenveto[[#This Row],[Ikärakenne, laskennallinen kustannus]]+Yhteenveto[[#This Row],[Muut laskennalliset kustannukset ]]</f>
        <v>66363707.819746643</v>
      </c>
      <c r="G69" s="508">
        <v>1422.47</v>
      </c>
      <c r="H69" s="17">
        <v>51938647.109999999</v>
      </c>
      <c r="I69" s="339">
        <f>Yhteenveto[[#This Row],[Laskennalliset kustannukset yhteensä]]-Yhteenveto[[#This Row],[Omarahoitusosuus, €]]</f>
        <v>14425060.709746644</v>
      </c>
      <c r="J69" s="33">
        <v>1633418.5503704962</v>
      </c>
      <c r="K69" s="34">
        <v>-9282828.0630929507</v>
      </c>
      <c r="L69" s="231">
        <f>Yhteenveto[[#This Row],[Valtionosuus omarahoitusosuuden jälkeen (välisumma)]]+Yhteenveto[[#This Row],[Lisäosat yhteensä]]+Yhteenveto[[#This Row],[Valtionosuuteen tehtävät vähennykset ja lisäykset, netto]]</f>
        <v>6775651.1970241889</v>
      </c>
      <c r="M69" s="34">
        <v>13314941.561149251</v>
      </c>
      <c r="N69" s="303">
        <f>SUM(Yhteenveto[[#This Row],[Valtionosuus ennen verotuloihin perustuvaa valtionosuuden tasausta]]+Yhteenveto[[#This Row],[Verotuloihin perustuva valtionosuuden tasaus]])</f>
        <v>20090592.75817344</v>
      </c>
      <c r="O69" s="241">
        <v>3293957.0640806407</v>
      </c>
      <c r="P69" s="372">
        <f>SUM(Yhteenveto[[#This Row],[Kunnan  peruspalvelujen valtionosuus ]:[Veroperustemuutoksista johtuvien veromenetysten korvaus]])</f>
        <v>23384549.82225408</v>
      </c>
      <c r="Q69" s="34">
        <v>-286121.91149999993</v>
      </c>
      <c r="R69" s="341">
        <f>+Yhteenveto[[#This Row],[Kunnan  peruspalvelujen valtionosuus ]]+Yhteenveto[[#This Row],[Veroperustemuutoksista johtuvien veromenetysten korvaus]]+Yhteenveto[[#This Row],[Kotikuntakorvaus, netto (ei päivitetty)]]</f>
        <v>23098427.910754081</v>
      </c>
      <c r="S69" s="11"/>
      <c r="T69"/>
    </row>
    <row r="70" spans="1:20" ht="15">
      <c r="A70" s="32">
        <v>208</v>
      </c>
      <c r="B70" s="13" t="s">
        <v>75</v>
      </c>
      <c r="C70" s="15">
        <v>12372</v>
      </c>
      <c r="D70" s="15">
        <v>21208018.629999999</v>
      </c>
      <c r="E70" s="15">
        <v>2999704.0954147093</v>
      </c>
      <c r="F70" s="231">
        <f>Yhteenveto[[#This Row],[Ikärakenne, laskennallinen kustannus]]+Yhteenveto[[#This Row],[Muut laskennalliset kustannukset ]]</f>
        <v>24207722.725414708</v>
      </c>
      <c r="G70" s="508">
        <v>1422.47</v>
      </c>
      <c r="H70" s="17">
        <v>17598798.84</v>
      </c>
      <c r="I70" s="339">
        <f>Yhteenveto[[#This Row],[Laskennalliset kustannukset yhteensä]]-Yhteenveto[[#This Row],[Omarahoitusosuus, €]]</f>
        <v>6608923.8854147084</v>
      </c>
      <c r="J70" s="33">
        <v>778571.98553715274</v>
      </c>
      <c r="K70" s="34">
        <v>213766.77678512764</v>
      </c>
      <c r="L70" s="231">
        <f>Yhteenveto[[#This Row],[Valtionosuus omarahoitusosuuden jälkeen (välisumma)]]+Yhteenveto[[#This Row],[Lisäosat yhteensä]]+Yhteenveto[[#This Row],[Valtionosuuteen tehtävät vähennykset ja lisäykset, netto]]</f>
        <v>7601262.647736989</v>
      </c>
      <c r="M70" s="34">
        <v>5155651.0879217749</v>
      </c>
      <c r="N70" s="303">
        <f>SUM(Yhteenveto[[#This Row],[Valtionosuus ennen verotuloihin perustuvaa valtionosuuden tasausta]]+Yhteenveto[[#This Row],[Verotuloihin perustuva valtionosuuden tasaus]])</f>
        <v>12756913.735658765</v>
      </c>
      <c r="O70" s="241">
        <v>1646294.2613879489</v>
      </c>
      <c r="P70" s="372">
        <f>SUM(Yhteenveto[[#This Row],[Kunnan  peruspalvelujen valtionosuus ]:[Veroperustemuutoksista johtuvien veromenetysten korvaus]])</f>
        <v>14403207.997046713</v>
      </c>
      <c r="Q70" s="34">
        <v>-20647.203999999998</v>
      </c>
      <c r="R70" s="341">
        <f>+Yhteenveto[[#This Row],[Kunnan  peruspalvelujen valtionosuus ]]+Yhteenveto[[#This Row],[Veroperustemuutoksista johtuvien veromenetysten korvaus]]+Yhteenveto[[#This Row],[Kotikuntakorvaus, netto (ei päivitetty)]]</f>
        <v>14382560.793046713</v>
      </c>
      <c r="S70" s="11"/>
      <c r="T70"/>
    </row>
    <row r="71" spans="1:20" ht="15">
      <c r="A71" s="32">
        <v>211</v>
      </c>
      <c r="B71" s="13" t="s">
        <v>76</v>
      </c>
      <c r="C71" s="15">
        <v>33473</v>
      </c>
      <c r="D71" s="15">
        <v>59257044.850000001</v>
      </c>
      <c r="E71" s="15">
        <v>5925944.943639189</v>
      </c>
      <c r="F71" s="231">
        <f>Yhteenveto[[#This Row],[Ikärakenne, laskennallinen kustannus]]+Yhteenveto[[#This Row],[Muut laskennalliset kustannukset ]]</f>
        <v>65182989.79363919</v>
      </c>
      <c r="G71" s="508">
        <v>1422.47</v>
      </c>
      <c r="H71" s="17">
        <v>47614338.310000002</v>
      </c>
      <c r="I71" s="339">
        <f>Yhteenveto[[#This Row],[Laskennalliset kustannukset yhteensä]]-Yhteenveto[[#This Row],[Omarahoitusosuus, €]]</f>
        <v>17568651.483639188</v>
      </c>
      <c r="J71" s="33">
        <v>1384815.7057275374</v>
      </c>
      <c r="K71" s="34">
        <v>-3012376.8233106323</v>
      </c>
      <c r="L71" s="231">
        <f>Yhteenveto[[#This Row],[Valtionosuus omarahoitusosuuden jälkeen (välisumma)]]+Yhteenveto[[#This Row],[Lisäosat yhteensä]]+Yhteenveto[[#This Row],[Valtionosuuteen tehtävät vähennykset ja lisäykset, netto]]</f>
        <v>15941090.366056092</v>
      </c>
      <c r="M71" s="34">
        <v>4660255.536872129</v>
      </c>
      <c r="N71" s="303">
        <f>SUM(Yhteenveto[[#This Row],[Valtionosuus ennen verotuloihin perustuvaa valtionosuuden tasausta]]+Yhteenveto[[#This Row],[Verotuloihin perustuva valtionosuuden tasaus]])</f>
        <v>20601345.902928222</v>
      </c>
      <c r="O71" s="241">
        <v>1815844.283180587</v>
      </c>
      <c r="P71" s="372">
        <f>SUM(Yhteenveto[[#This Row],[Kunnan  peruspalvelujen valtionosuus ]:[Veroperustemuutoksista johtuvien veromenetysten korvaus]])</f>
        <v>22417190.186108809</v>
      </c>
      <c r="Q71" s="34">
        <v>-1152386.9917500005</v>
      </c>
      <c r="R71" s="341">
        <f>+Yhteenveto[[#This Row],[Kunnan  peruspalvelujen valtionosuus ]]+Yhteenveto[[#This Row],[Veroperustemuutoksista johtuvien veromenetysten korvaus]]+Yhteenveto[[#This Row],[Kotikuntakorvaus, netto (ei päivitetty)]]</f>
        <v>21264803.194358807</v>
      </c>
      <c r="S71" s="11"/>
      <c r="T71"/>
    </row>
    <row r="72" spans="1:20" ht="15">
      <c r="A72" s="32">
        <v>213</v>
      </c>
      <c r="B72" s="13" t="s">
        <v>77</v>
      </c>
      <c r="C72" s="15">
        <v>5114</v>
      </c>
      <c r="D72" s="15">
        <v>5752503.1000000006</v>
      </c>
      <c r="E72" s="15">
        <v>1798154.1158921556</v>
      </c>
      <c r="F72" s="231">
        <f>Yhteenveto[[#This Row],[Ikärakenne, laskennallinen kustannus]]+Yhteenveto[[#This Row],[Muut laskennalliset kustannukset ]]</f>
        <v>7550657.2158921566</v>
      </c>
      <c r="G72" s="508">
        <v>1422.47</v>
      </c>
      <c r="H72" s="17">
        <v>7274511.5800000001</v>
      </c>
      <c r="I72" s="339">
        <f>Yhteenveto[[#This Row],[Laskennalliset kustannukset yhteensä]]-Yhteenveto[[#This Row],[Omarahoitusosuus, €]]</f>
        <v>276145.63589215651</v>
      </c>
      <c r="J72" s="33">
        <v>647357.69194691686</v>
      </c>
      <c r="K72" s="34">
        <v>-552620.45440954296</v>
      </c>
      <c r="L72" s="231">
        <f>Yhteenveto[[#This Row],[Valtionosuus omarahoitusosuuden jälkeen (välisumma)]]+Yhteenveto[[#This Row],[Lisäosat yhteensä]]+Yhteenveto[[#This Row],[Valtionosuuteen tehtävät vähennykset ja lisäykset, netto]]</f>
        <v>370882.87342953042</v>
      </c>
      <c r="M72" s="34">
        <v>1682475.6072741617</v>
      </c>
      <c r="N72" s="303">
        <f>SUM(Yhteenveto[[#This Row],[Valtionosuus ennen verotuloihin perustuvaa valtionosuuden tasausta]]+Yhteenveto[[#This Row],[Verotuloihin perustuva valtionosuuden tasaus]])</f>
        <v>2053358.480703692</v>
      </c>
      <c r="O72" s="241">
        <v>798048.22597768996</v>
      </c>
      <c r="P72" s="372">
        <f>SUM(Yhteenveto[[#This Row],[Kunnan  peruspalvelujen valtionosuus ]:[Veroperustemuutoksista johtuvien veromenetysten korvaus]])</f>
        <v>2851406.7066813819</v>
      </c>
      <c r="Q72" s="34">
        <v>-114902.28700000001</v>
      </c>
      <c r="R72" s="341">
        <f>+Yhteenveto[[#This Row],[Kunnan  peruspalvelujen valtionosuus ]]+Yhteenveto[[#This Row],[Veroperustemuutoksista johtuvien veromenetysten korvaus]]+Yhteenveto[[#This Row],[Kotikuntakorvaus, netto (ei päivitetty)]]</f>
        <v>2736504.4196813819</v>
      </c>
      <c r="S72" s="11"/>
      <c r="T72"/>
    </row>
    <row r="73" spans="1:20" ht="15">
      <c r="A73" s="32">
        <v>214</v>
      </c>
      <c r="B73" s="13" t="s">
        <v>78</v>
      </c>
      <c r="C73" s="15">
        <v>12394</v>
      </c>
      <c r="D73" s="15">
        <v>17095666.010000002</v>
      </c>
      <c r="E73" s="15">
        <v>3845316.9377690656</v>
      </c>
      <c r="F73" s="231">
        <f>Yhteenveto[[#This Row],[Ikärakenne, laskennallinen kustannus]]+Yhteenveto[[#This Row],[Muut laskennalliset kustannukset ]]</f>
        <v>20940982.947769068</v>
      </c>
      <c r="G73" s="508">
        <v>1422.47</v>
      </c>
      <c r="H73" s="17">
        <v>17630093.18</v>
      </c>
      <c r="I73" s="339">
        <f>Yhteenveto[[#This Row],[Laskennalliset kustannukset yhteensä]]-Yhteenveto[[#This Row],[Omarahoitusosuus, €]]</f>
        <v>3310889.7677690685</v>
      </c>
      <c r="J73" s="33">
        <v>669583.3825473988</v>
      </c>
      <c r="K73" s="34">
        <v>-497267.55813109514</v>
      </c>
      <c r="L73" s="231">
        <f>Yhteenveto[[#This Row],[Valtionosuus omarahoitusosuuden jälkeen (välisumma)]]+Yhteenveto[[#This Row],[Lisäosat yhteensä]]+Yhteenveto[[#This Row],[Valtionosuuteen tehtävät vähennykset ja lisäykset, netto]]</f>
        <v>3483205.5921853725</v>
      </c>
      <c r="M73" s="34">
        <v>5185113.5416171765</v>
      </c>
      <c r="N73" s="303">
        <f>SUM(Yhteenveto[[#This Row],[Valtionosuus ennen verotuloihin perustuvaa valtionosuuden tasausta]]+Yhteenveto[[#This Row],[Verotuloihin perustuva valtionosuuden tasaus]])</f>
        <v>8668319.1338025481</v>
      </c>
      <c r="O73" s="241">
        <v>1798950.5520576923</v>
      </c>
      <c r="P73" s="372">
        <f>SUM(Yhteenveto[[#This Row],[Kunnan  peruspalvelujen valtionosuus ]:[Veroperustemuutoksista johtuvien veromenetysten korvaus]])</f>
        <v>10467269.685860241</v>
      </c>
      <c r="Q73" s="34">
        <v>195506.94249999992</v>
      </c>
      <c r="R73" s="341">
        <f>+Yhteenveto[[#This Row],[Kunnan  peruspalvelujen valtionosuus ]]+Yhteenveto[[#This Row],[Veroperustemuutoksista johtuvien veromenetysten korvaus]]+Yhteenveto[[#This Row],[Kotikuntakorvaus, netto (ei päivitetty)]]</f>
        <v>10662776.628360242</v>
      </c>
      <c r="S73" s="11"/>
      <c r="T73"/>
    </row>
    <row r="74" spans="1:20" ht="15">
      <c r="A74" s="32">
        <v>216</v>
      </c>
      <c r="B74" s="13" t="s">
        <v>79</v>
      </c>
      <c r="C74" s="15">
        <v>1217</v>
      </c>
      <c r="D74" s="15">
        <v>1468253.1599999997</v>
      </c>
      <c r="E74" s="15">
        <v>592817.5473676977</v>
      </c>
      <c r="F74" s="231">
        <f>Yhteenveto[[#This Row],[Ikärakenne, laskennallinen kustannus]]+Yhteenveto[[#This Row],[Muut laskennalliset kustannukset ]]</f>
        <v>2061070.7073676973</v>
      </c>
      <c r="G74" s="508">
        <v>1422.47</v>
      </c>
      <c r="H74" s="17">
        <v>1731145.99</v>
      </c>
      <c r="I74" s="339">
        <f>Yhteenveto[[#This Row],[Laskennalliset kustannukset yhteensä]]-Yhteenveto[[#This Row],[Omarahoitusosuus, €]]</f>
        <v>329924.71736769727</v>
      </c>
      <c r="J74" s="33">
        <v>396721.02233623626</v>
      </c>
      <c r="K74" s="34">
        <v>69069.195438845956</v>
      </c>
      <c r="L74" s="231">
        <f>Yhteenveto[[#This Row],[Valtionosuus omarahoitusosuuden jälkeen (välisumma)]]+Yhteenveto[[#This Row],[Lisäosat yhteensä]]+Yhteenveto[[#This Row],[Valtionosuuteen tehtävät vähennykset ja lisäykset, netto]]</f>
        <v>795714.93514277949</v>
      </c>
      <c r="M74" s="34">
        <v>580332.49936595804</v>
      </c>
      <c r="N74" s="303">
        <f>SUM(Yhteenveto[[#This Row],[Valtionosuus ennen verotuloihin perustuvaa valtionosuuden tasausta]]+Yhteenveto[[#This Row],[Verotuloihin perustuva valtionosuuden tasaus]])</f>
        <v>1376047.4345087376</v>
      </c>
      <c r="O74" s="241">
        <v>229623.37679993192</v>
      </c>
      <c r="P74" s="372">
        <f>SUM(Yhteenveto[[#This Row],[Kunnan  peruspalvelujen valtionosuus ]:[Veroperustemuutoksista johtuvien veromenetysten korvaus]])</f>
        <v>1605670.8113086696</v>
      </c>
      <c r="Q74" s="34">
        <v>65641.399999999994</v>
      </c>
      <c r="R74" s="341">
        <f>+Yhteenveto[[#This Row],[Kunnan  peruspalvelujen valtionosuus ]]+Yhteenveto[[#This Row],[Veroperustemuutoksista johtuvien veromenetysten korvaus]]+Yhteenveto[[#This Row],[Kotikuntakorvaus, netto (ei päivitetty)]]</f>
        <v>1671312.2113086695</v>
      </c>
      <c r="S74" s="11"/>
      <c r="T74"/>
    </row>
    <row r="75" spans="1:20" ht="15">
      <c r="A75" s="32">
        <v>217</v>
      </c>
      <c r="B75" s="13" t="s">
        <v>80</v>
      </c>
      <c r="C75" s="15">
        <v>5246</v>
      </c>
      <c r="D75" s="15">
        <v>9089932.4999999981</v>
      </c>
      <c r="E75" s="15">
        <v>1307256.0004238398</v>
      </c>
      <c r="F75" s="231">
        <f>Yhteenveto[[#This Row],[Ikärakenne, laskennallinen kustannus]]+Yhteenveto[[#This Row],[Muut laskennalliset kustannukset ]]</f>
        <v>10397188.500423837</v>
      </c>
      <c r="G75" s="508">
        <v>1422.47</v>
      </c>
      <c r="H75" s="17">
        <v>7462277.6200000001</v>
      </c>
      <c r="I75" s="339">
        <f>Yhteenveto[[#This Row],[Laskennalliset kustannukset yhteensä]]-Yhteenveto[[#This Row],[Omarahoitusosuus, €]]</f>
        <v>2934910.8804238373</v>
      </c>
      <c r="J75" s="33">
        <v>240580.26280386731</v>
      </c>
      <c r="K75" s="34">
        <v>-1856217.1713817175</v>
      </c>
      <c r="L75" s="231">
        <f>Yhteenveto[[#This Row],[Valtionosuus omarahoitusosuuden jälkeen (välisumma)]]+Yhteenveto[[#This Row],[Lisäosat yhteensä]]+Yhteenveto[[#This Row],[Valtionosuuteen tehtävät vähennykset ja lisäykset, netto]]</f>
        <v>1319273.9718459873</v>
      </c>
      <c r="M75" s="34">
        <v>2809119.6676635365</v>
      </c>
      <c r="N75" s="303">
        <f>SUM(Yhteenveto[[#This Row],[Valtionosuus ennen verotuloihin perustuvaa valtionosuuden tasausta]]+Yhteenveto[[#This Row],[Verotuloihin perustuva valtionosuuden tasaus]])</f>
        <v>4128393.6395095238</v>
      </c>
      <c r="O75" s="241">
        <v>665322.61978268577</v>
      </c>
      <c r="P75" s="372">
        <f>SUM(Yhteenveto[[#This Row],[Kunnan  peruspalvelujen valtionosuus ]:[Veroperustemuutoksista johtuvien veromenetysten korvaus]])</f>
        <v>4793716.2592922095</v>
      </c>
      <c r="Q75" s="34">
        <v>-20960.4925</v>
      </c>
      <c r="R75" s="341">
        <f>+Yhteenveto[[#This Row],[Kunnan  peruspalvelujen valtionosuus ]]+Yhteenveto[[#This Row],[Veroperustemuutoksista johtuvien veromenetysten korvaus]]+Yhteenveto[[#This Row],[Kotikuntakorvaus, netto (ei päivitetty)]]</f>
        <v>4772755.7667922098</v>
      </c>
      <c r="S75" s="11"/>
      <c r="T75"/>
    </row>
    <row r="76" spans="1:20" ht="15">
      <c r="A76" s="32">
        <v>218</v>
      </c>
      <c r="B76" s="13" t="s">
        <v>81</v>
      </c>
      <c r="C76" s="15">
        <v>1188</v>
      </c>
      <c r="D76" s="15">
        <v>1359234.6900000002</v>
      </c>
      <c r="E76" s="15">
        <v>324429.36935861409</v>
      </c>
      <c r="F76" s="231">
        <f>Yhteenveto[[#This Row],[Ikärakenne, laskennallinen kustannus]]+Yhteenveto[[#This Row],[Muut laskennalliset kustannukset ]]</f>
        <v>1683664.0593586143</v>
      </c>
      <c r="G76" s="508">
        <v>1422.47</v>
      </c>
      <c r="H76" s="17">
        <v>1689894.36</v>
      </c>
      <c r="I76" s="339">
        <f>Yhteenveto[[#This Row],[Laskennalliset kustannukset yhteensä]]-Yhteenveto[[#This Row],[Omarahoitusosuus, €]]</f>
        <v>-6230.3006413858384</v>
      </c>
      <c r="J76" s="33">
        <v>74083.327030896398</v>
      </c>
      <c r="K76" s="34">
        <v>394439.34524985275</v>
      </c>
      <c r="L76" s="231">
        <f>Yhteenveto[[#This Row],[Valtionosuus omarahoitusosuuden jälkeen (välisumma)]]+Yhteenveto[[#This Row],[Lisäosat yhteensä]]+Yhteenveto[[#This Row],[Valtionosuuteen tehtävät vähennykset ja lisäykset, netto]]</f>
        <v>462292.37163936329</v>
      </c>
      <c r="M76" s="34">
        <v>690500.73350937513</v>
      </c>
      <c r="N76" s="303">
        <f>SUM(Yhteenveto[[#This Row],[Valtionosuus ennen verotuloihin perustuvaa valtionosuuden tasausta]]+Yhteenveto[[#This Row],[Verotuloihin perustuva valtionosuuden tasaus]])</f>
        <v>1152793.1051487385</v>
      </c>
      <c r="O76" s="241">
        <v>250718.55375674641</v>
      </c>
      <c r="P76" s="372">
        <f>SUM(Yhteenveto[[#This Row],[Kunnan  peruspalvelujen valtionosuus ]:[Veroperustemuutoksista johtuvien veromenetysten korvaus]])</f>
        <v>1403511.6589054849</v>
      </c>
      <c r="Q76" s="34">
        <v>-325148.70749999996</v>
      </c>
      <c r="R76" s="341">
        <f>+Yhteenveto[[#This Row],[Kunnan  peruspalvelujen valtionosuus ]]+Yhteenveto[[#This Row],[Veroperustemuutoksista johtuvien veromenetysten korvaus]]+Yhteenveto[[#This Row],[Kotikuntakorvaus, netto (ei päivitetty)]]</f>
        <v>1078362.9514054849</v>
      </c>
      <c r="S76" s="11"/>
      <c r="T76"/>
    </row>
    <row r="77" spans="1:20" ht="15">
      <c r="A77" s="32">
        <v>224</v>
      </c>
      <c r="B77" s="13" t="s">
        <v>82</v>
      </c>
      <c r="C77" s="15">
        <v>8581</v>
      </c>
      <c r="D77" s="15">
        <v>12368640.609999999</v>
      </c>
      <c r="E77" s="15">
        <v>3111960.7527224091</v>
      </c>
      <c r="F77" s="231">
        <f>Yhteenveto[[#This Row],[Ikärakenne, laskennallinen kustannus]]+Yhteenveto[[#This Row],[Muut laskennalliset kustannukset ]]</f>
        <v>15480601.362722408</v>
      </c>
      <c r="G77" s="508">
        <v>1422.47</v>
      </c>
      <c r="H77" s="17">
        <v>12206215.07</v>
      </c>
      <c r="I77" s="339">
        <f>Yhteenveto[[#This Row],[Laskennalliset kustannukset yhteensä]]-Yhteenveto[[#This Row],[Omarahoitusosuus, €]]</f>
        <v>3274386.2927224077</v>
      </c>
      <c r="J77" s="33">
        <v>226077.53313295043</v>
      </c>
      <c r="K77" s="34">
        <v>-791382.07220112288</v>
      </c>
      <c r="L77" s="231">
        <f>Yhteenveto[[#This Row],[Valtionosuus omarahoitusosuuden jälkeen (välisumma)]]+Yhteenveto[[#This Row],[Lisäosat yhteensä]]+Yhteenveto[[#This Row],[Valtionosuuteen tehtävät vähennykset ja lisäykset, netto]]</f>
        <v>2709081.753654235</v>
      </c>
      <c r="M77" s="34">
        <v>3798485.198377226</v>
      </c>
      <c r="N77" s="303">
        <f>SUM(Yhteenveto[[#This Row],[Valtionosuus ennen verotuloihin perustuvaa valtionosuuden tasausta]]+Yhteenveto[[#This Row],[Verotuloihin perustuva valtionosuuden tasaus]])</f>
        <v>6507566.9520314615</v>
      </c>
      <c r="O77" s="241">
        <v>869626.52316402539</v>
      </c>
      <c r="P77" s="372">
        <f>SUM(Yhteenveto[[#This Row],[Kunnan  peruspalvelujen valtionosuus ]:[Veroperustemuutoksista johtuvien veromenetysten korvaus]])</f>
        <v>7377193.475195487</v>
      </c>
      <c r="Q77" s="34">
        <v>321627.94149999996</v>
      </c>
      <c r="R77" s="341">
        <f>+Yhteenveto[[#This Row],[Kunnan  peruspalvelujen valtionosuus ]]+Yhteenveto[[#This Row],[Veroperustemuutoksista johtuvien veromenetysten korvaus]]+Yhteenveto[[#This Row],[Kotikuntakorvaus, netto (ei päivitetty)]]</f>
        <v>7698821.4166954868</v>
      </c>
      <c r="S77" s="11"/>
      <c r="T77"/>
    </row>
    <row r="78" spans="1:20" ht="15">
      <c r="A78" s="32">
        <v>226</v>
      </c>
      <c r="B78" s="13" t="s">
        <v>83</v>
      </c>
      <c r="C78" s="15">
        <v>3625</v>
      </c>
      <c r="D78" s="15">
        <v>4197925.51</v>
      </c>
      <c r="E78" s="15">
        <v>1391851.5554427942</v>
      </c>
      <c r="F78" s="231">
        <f>Yhteenveto[[#This Row],[Ikärakenne, laskennallinen kustannus]]+Yhteenveto[[#This Row],[Muut laskennalliset kustannukset ]]</f>
        <v>5589777.065442794</v>
      </c>
      <c r="G78" s="508">
        <v>1422.47</v>
      </c>
      <c r="H78" s="17">
        <v>5156453.75</v>
      </c>
      <c r="I78" s="339">
        <f>Yhteenveto[[#This Row],[Laskennalliset kustannukset yhteensä]]-Yhteenveto[[#This Row],[Omarahoitusosuus, €]]</f>
        <v>433323.315442794</v>
      </c>
      <c r="J78" s="33">
        <v>583964.7630804677</v>
      </c>
      <c r="K78" s="34">
        <v>487422.64547902759</v>
      </c>
      <c r="L78" s="231">
        <f>Yhteenveto[[#This Row],[Valtionosuus omarahoitusosuuden jälkeen (välisumma)]]+Yhteenveto[[#This Row],[Lisäosat yhteensä]]+Yhteenveto[[#This Row],[Valtionosuuteen tehtävät vähennykset ja lisäykset, netto]]</f>
        <v>1504710.7240022894</v>
      </c>
      <c r="M78" s="34">
        <v>1933232.3878746883</v>
      </c>
      <c r="N78" s="303">
        <f>SUM(Yhteenveto[[#This Row],[Valtionosuus ennen verotuloihin perustuvaa valtionosuuden tasausta]]+Yhteenveto[[#This Row],[Verotuloihin perustuva valtionosuuden tasaus]])</f>
        <v>3437943.1118769776</v>
      </c>
      <c r="O78" s="241">
        <v>586938.56858092395</v>
      </c>
      <c r="P78" s="372">
        <f>SUM(Yhteenveto[[#This Row],[Kunnan  peruspalvelujen valtionosuus ]:[Veroperustemuutoksista johtuvien veromenetysten korvaus]])</f>
        <v>4024881.6804579017</v>
      </c>
      <c r="Q78" s="34">
        <v>31328.850000000006</v>
      </c>
      <c r="R78" s="341">
        <f>+Yhteenveto[[#This Row],[Kunnan  peruspalvelujen valtionosuus ]]+Yhteenveto[[#This Row],[Veroperustemuutoksista johtuvien veromenetysten korvaus]]+Yhteenveto[[#This Row],[Kotikuntakorvaus, netto (ei päivitetty)]]</f>
        <v>4056210.5304579018</v>
      </c>
      <c r="S78" s="11"/>
      <c r="T78"/>
    </row>
    <row r="79" spans="1:20" ht="15">
      <c r="A79" s="32">
        <v>230</v>
      </c>
      <c r="B79" s="13" t="s">
        <v>84</v>
      </c>
      <c r="C79" s="15">
        <v>2216</v>
      </c>
      <c r="D79" s="15">
        <v>2756641.3099999996</v>
      </c>
      <c r="E79" s="15">
        <v>913887.22444903967</v>
      </c>
      <c r="F79" s="231">
        <f>Yhteenveto[[#This Row],[Ikärakenne, laskennallinen kustannus]]+Yhteenveto[[#This Row],[Muut laskennalliset kustannukset ]]</f>
        <v>3670528.534449039</v>
      </c>
      <c r="G79" s="508">
        <v>1422.47</v>
      </c>
      <c r="H79" s="17">
        <v>3152193.52</v>
      </c>
      <c r="I79" s="339">
        <f>Yhteenveto[[#This Row],[Laskennalliset kustannukset yhteensä]]-Yhteenveto[[#This Row],[Omarahoitusosuus, €]]</f>
        <v>518335.01444903901</v>
      </c>
      <c r="J79" s="33">
        <v>300771.99180539604</v>
      </c>
      <c r="K79" s="34">
        <v>-4843.1543166114134</v>
      </c>
      <c r="L79" s="231">
        <f>Yhteenveto[[#This Row],[Valtionosuus omarahoitusosuuden jälkeen (välisumma)]]+Yhteenveto[[#This Row],[Lisäosat yhteensä]]+Yhteenveto[[#This Row],[Valtionosuuteen tehtävät vähennykset ja lisäykset, netto]]</f>
        <v>814263.8519378237</v>
      </c>
      <c r="M79" s="34">
        <v>1445479.0426108821</v>
      </c>
      <c r="N79" s="303">
        <f>SUM(Yhteenveto[[#This Row],[Valtionosuus ennen verotuloihin perustuvaa valtionosuuden tasausta]]+Yhteenveto[[#This Row],[Verotuloihin perustuva valtionosuuden tasaus]])</f>
        <v>2259742.8945487058</v>
      </c>
      <c r="O79" s="241">
        <v>458472.2630332401</v>
      </c>
      <c r="P79" s="372">
        <f>SUM(Yhteenveto[[#This Row],[Kunnan  peruspalvelujen valtionosuus ]:[Veroperustemuutoksista johtuvien veromenetysten korvaus]])</f>
        <v>2718215.1575819459</v>
      </c>
      <c r="Q79" s="34">
        <v>71012.060000000012</v>
      </c>
      <c r="R79" s="341">
        <f>+Yhteenveto[[#This Row],[Kunnan  peruspalvelujen valtionosuus ]]+Yhteenveto[[#This Row],[Veroperustemuutoksista johtuvien veromenetysten korvaus]]+Yhteenveto[[#This Row],[Kotikuntakorvaus, netto (ei päivitetty)]]</f>
        <v>2789227.2175819459</v>
      </c>
      <c r="S79" s="11"/>
      <c r="T79"/>
    </row>
    <row r="80" spans="1:20" ht="15">
      <c r="A80" s="32">
        <v>231</v>
      </c>
      <c r="B80" s="13" t="s">
        <v>85</v>
      </c>
      <c r="C80" s="15">
        <v>1208</v>
      </c>
      <c r="D80" s="15">
        <v>1443731.64</v>
      </c>
      <c r="E80" s="15">
        <v>621806.69943998475</v>
      </c>
      <c r="F80" s="231">
        <f>Yhteenveto[[#This Row],[Ikärakenne, laskennallinen kustannus]]+Yhteenveto[[#This Row],[Muut laskennalliset kustannukset ]]</f>
        <v>2065538.3394399846</v>
      </c>
      <c r="G80" s="508">
        <v>1422.47</v>
      </c>
      <c r="H80" s="17">
        <v>1718343.76</v>
      </c>
      <c r="I80" s="339">
        <f>Yhteenveto[[#This Row],[Laskennalliset kustannukset yhteensä]]-Yhteenveto[[#This Row],[Omarahoitusosuus, €]]</f>
        <v>347194.57943998463</v>
      </c>
      <c r="J80" s="33">
        <v>95969.814556393976</v>
      </c>
      <c r="K80" s="34">
        <v>-1412153.0794604996</v>
      </c>
      <c r="L80" s="231">
        <f>Yhteenveto[[#This Row],[Valtionosuus omarahoitusosuuden jälkeen (välisumma)]]+Yhteenveto[[#This Row],[Lisäosat yhteensä]]+Yhteenveto[[#This Row],[Valtionosuuteen tehtävät vähennykset ja lisäykset, netto]]</f>
        <v>-968988.68546412094</v>
      </c>
      <c r="M80" s="34">
        <v>-48305.815459843128</v>
      </c>
      <c r="N80" s="303">
        <f>SUM(Yhteenveto[[#This Row],[Valtionosuus ennen verotuloihin perustuvaa valtionosuuden tasausta]]+Yhteenveto[[#This Row],[Verotuloihin perustuva valtionosuuden tasaus]])</f>
        <v>-1017294.5009239641</v>
      </c>
      <c r="O80" s="241">
        <v>136065.32130331092</v>
      </c>
      <c r="P80" s="372">
        <f>SUM(Yhteenveto[[#This Row],[Kunnan  peruspalvelujen valtionosuus ]:[Veroperustemuutoksista johtuvien veromenetysten korvaus]])</f>
        <v>-881229.17962065316</v>
      </c>
      <c r="Q80" s="34">
        <v>-199833.3075</v>
      </c>
      <c r="R80" s="341">
        <f>+Yhteenveto[[#This Row],[Kunnan  peruspalvelujen valtionosuus ]]+Yhteenveto[[#This Row],[Veroperustemuutoksista johtuvien veromenetysten korvaus]]+Yhteenveto[[#This Row],[Kotikuntakorvaus, netto (ei päivitetty)]]</f>
        <v>-1081062.487120653</v>
      </c>
      <c r="S80" s="11"/>
      <c r="T80"/>
    </row>
    <row r="81" spans="1:20" ht="15">
      <c r="A81" s="32">
        <v>232</v>
      </c>
      <c r="B81" s="13" t="s">
        <v>86</v>
      </c>
      <c r="C81" s="15">
        <v>12618</v>
      </c>
      <c r="D81" s="15">
        <v>18639740.280000001</v>
      </c>
      <c r="E81" s="15">
        <v>3425534.1476738211</v>
      </c>
      <c r="F81" s="231">
        <f>Yhteenveto[[#This Row],[Ikärakenne, laskennallinen kustannus]]+Yhteenveto[[#This Row],[Muut laskennalliset kustannukset ]]</f>
        <v>22065274.427673824</v>
      </c>
      <c r="G81" s="508">
        <v>1422.47</v>
      </c>
      <c r="H81" s="17">
        <v>17948726.460000001</v>
      </c>
      <c r="I81" s="339">
        <f>Yhteenveto[[#This Row],[Laskennalliset kustannukset yhteensä]]-Yhteenveto[[#This Row],[Omarahoitusosuus, €]]</f>
        <v>4116547.9676738232</v>
      </c>
      <c r="J81" s="33">
        <v>454562.96308033937</v>
      </c>
      <c r="K81" s="34">
        <v>-611346.3718076857</v>
      </c>
      <c r="L81" s="231">
        <f>Yhteenveto[[#This Row],[Valtionosuus omarahoitusosuuden jälkeen (välisumma)]]+Yhteenveto[[#This Row],[Lisäosat yhteensä]]+Yhteenveto[[#This Row],[Valtionosuuteen tehtävät vähennykset ja lisäykset, netto]]</f>
        <v>3959764.5589464768</v>
      </c>
      <c r="M81" s="34">
        <v>5527742.5631260565</v>
      </c>
      <c r="N81" s="303">
        <f>SUM(Yhteenveto[[#This Row],[Valtionosuus ennen verotuloihin perustuvaa valtionosuuden tasausta]]+Yhteenveto[[#This Row],[Verotuloihin perustuva valtionosuuden tasaus]])</f>
        <v>9487507.1220725328</v>
      </c>
      <c r="O81" s="241">
        <v>1900359.0778562401</v>
      </c>
      <c r="P81" s="372">
        <f>SUM(Yhteenveto[[#This Row],[Kunnan  peruspalvelujen valtionosuus ]:[Veroperustemuutoksista johtuvien veromenetysten korvaus]])</f>
        <v>11387866.199928774</v>
      </c>
      <c r="Q81" s="34">
        <v>-56839.484999999986</v>
      </c>
      <c r="R81" s="341">
        <f>+Yhteenveto[[#This Row],[Kunnan  peruspalvelujen valtionosuus ]]+Yhteenveto[[#This Row],[Veroperustemuutoksista johtuvien veromenetysten korvaus]]+Yhteenveto[[#This Row],[Kotikuntakorvaus, netto (ei päivitetty)]]</f>
        <v>11331026.714928774</v>
      </c>
      <c r="S81" s="11"/>
      <c r="T81"/>
    </row>
    <row r="82" spans="1:20" ht="15">
      <c r="A82" s="32">
        <v>233</v>
      </c>
      <c r="B82" s="13" t="s">
        <v>87</v>
      </c>
      <c r="C82" s="15">
        <v>15165</v>
      </c>
      <c r="D82" s="15">
        <v>22144158.43</v>
      </c>
      <c r="E82" s="15">
        <v>3980463.2266708491</v>
      </c>
      <c r="F82" s="231">
        <f>Yhteenveto[[#This Row],[Ikärakenne, laskennallinen kustannus]]+Yhteenveto[[#This Row],[Muut laskennalliset kustannukset ]]</f>
        <v>26124621.65667085</v>
      </c>
      <c r="G82" s="508">
        <v>1422.47</v>
      </c>
      <c r="H82" s="17">
        <v>21571757.550000001</v>
      </c>
      <c r="I82" s="339">
        <f>Yhteenveto[[#This Row],[Laskennalliset kustannukset yhteensä]]-Yhteenveto[[#This Row],[Omarahoitusosuus, €]]</f>
        <v>4552864.106670849</v>
      </c>
      <c r="J82" s="33">
        <v>436658.38719435717</v>
      </c>
      <c r="K82" s="34">
        <v>1058598.6908091265</v>
      </c>
      <c r="L82" s="231">
        <f>Yhteenveto[[#This Row],[Valtionosuus omarahoitusosuuden jälkeen (välisumma)]]+Yhteenveto[[#This Row],[Lisäosat yhteensä]]+Yhteenveto[[#This Row],[Valtionosuuteen tehtävät vähennykset ja lisäykset, netto]]</f>
        <v>6048121.1846743319</v>
      </c>
      <c r="M82" s="34">
        <v>7338712.8338533053</v>
      </c>
      <c r="N82" s="303">
        <f>SUM(Yhteenveto[[#This Row],[Valtionosuus ennen verotuloihin perustuvaa valtionosuuden tasausta]]+Yhteenveto[[#This Row],[Verotuloihin perustuva valtionosuuden tasaus]])</f>
        <v>13386834.018527638</v>
      </c>
      <c r="O82" s="241">
        <v>2331401.5761136455</v>
      </c>
      <c r="P82" s="372">
        <f>SUM(Yhteenveto[[#This Row],[Kunnan  peruspalvelujen valtionosuus ]:[Veroperustemuutoksista johtuvien veromenetysten korvaus]])</f>
        <v>15718235.594641283</v>
      </c>
      <c r="Q82" s="34">
        <v>-67655.397499999963</v>
      </c>
      <c r="R82" s="341">
        <f>+Yhteenveto[[#This Row],[Kunnan  peruspalvelujen valtionosuus ]]+Yhteenveto[[#This Row],[Veroperustemuutoksista johtuvien veromenetysten korvaus]]+Yhteenveto[[#This Row],[Kotikuntakorvaus, netto (ei päivitetty)]]</f>
        <v>15650580.197141282</v>
      </c>
      <c r="S82" s="11"/>
      <c r="T82"/>
    </row>
    <row r="83" spans="1:20" ht="15">
      <c r="A83" s="32">
        <v>235</v>
      </c>
      <c r="B83" s="13" t="s">
        <v>88</v>
      </c>
      <c r="C83" s="15">
        <v>10270</v>
      </c>
      <c r="D83" s="15">
        <v>18088856.059999999</v>
      </c>
      <c r="E83" s="15">
        <v>3959316.7271741773</v>
      </c>
      <c r="F83" s="231">
        <f>Yhteenveto[[#This Row],[Ikärakenne, laskennallinen kustannus]]+Yhteenveto[[#This Row],[Muut laskennalliset kustannukset ]]</f>
        <v>22048172.787174176</v>
      </c>
      <c r="G83" s="508">
        <v>1422.47</v>
      </c>
      <c r="H83" s="17">
        <v>14608766.9</v>
      </c>
      <c r="I83" s="339">
        <f>Yhteenveto[[#This Row],[Laskennalliset kustannukset yhteensä]]-Yhteenveto[[#This Row],[Omarahoitusosuus, €]]</f>
        <v>7439405.8871741761</v>
      </c>
      <c r="J83" s="33">
        <v>320429.58719221054</v>
      </c>
      <c r="K83" s="34">
        <v>11727518.382520285</v>
      </c>
      <c r="L83" s="231">
        <f>Yhteenveto[[#This Row],[Valtionosuus omarahoitusosuuden jälkeen (välisumma)]]+Yhteenveto[[#This Row],[Lisäosat yhteensä]]+Yhteenveto[[#This Row],[Valtionosuuteen tehtävät vähennykset ja lisäykset, netto]]</f>
        <v>19487353.85688667</v>
      </c>
      <c r="M83" s="34">
        <v>-1668468.0459326224</v>
      </c>
      <c r="N83" s="303">
        <f>SUM(Yhteenveto[[#This Row],[Valtionosuus ennen verotuloihin perustuvaa valtionosuuden tasausta]]+Yhteenveto[[#This Row],[Verotuloihin perustuva valtionosuuden tasaus]])</f>
        <v>17818885.810954049</v>
      </c>
      <c r="O83" s="241">
        <v>474357.23216801789</v>
      </c>
      <c r="P83" s="372">
        <f>SUM(Yhteenveto[[#This Row],[Kunnan  peruspalvelujen valtionosuus ]:[Veroperustemuutoksista johtuvien veromenetysten korvaus]])</f>
        <v>18293243.043122068</v>
      </c>
      <c r="Q83" s="34">
        <v>2266815.3520999998</v>
      </c>
      <c r="R83" s="341">
        <f>+Yhteenveto[[#This Row],[Kunnan  peruspalvelujen valtionosuus ]]+Yhteenveto[[#This Row],[Veroperustemuutoksista johtuvien veromenetysten korvaus]]+Yhteenveto[[#This Row],[Kotikuntakorvaus, netto (ei päivitetty)]]</f>
        <v>20560058.395222068</v>
      </c>
      <c r="S83" s="11"/>
      <c r="T83"/>
    </row>
    <row r="84" spans="1:20" ht="15">
      <c r="A84" s="32">
        <v>236</v>
      </c>
      <c r="B84" s="13" t="s">
        <v>89</v>
      </c>
      <c r="C84" s="15">
        <v>4137</v>
      </c>
      <c r="D84" s="15">
        <v>7065476.4500000002</v>
      </c>
      <c r="E84" s="15">
        <v>938844.85333409882</v>
      </c>
      <c r="F84" s="231">
        <f>Yhteenveto[[#This Row],[Ikärakenne, laskennallinen kustannus]]+Yhteenveto[[#This Row],[Muut laskennalliset kustannukset ]]</f>
        <v>8004321.3033340992</v>
      </c>
      <c r="G84" s="508">
        <v>1422.47</v>
      </c>
      <c r="H84" s="17">
        <v>5884758.3899999997</v>
      </c>
      <c r="I84" s="339">
        <f>Yhteenveto[[#This Row],[Laskennalliset kustannukset yhteensä]]-Yhteenveto[[#This Row],[Omarahoitusosuus, €]]</f>
        <v>2119562.9133340996</v>
      </c>
      <c r="J84" s="33">
        <v>195591.43035903666</v>
      </c>
      <c r="K84" s="34">
        <v>-421926.93477257423</v>
      </c>
      <c r="L84" s="231">
        <f>Yhteenveto[[#This Row],[Valtionosuus omarahoitusosuuden jälkeen (välisumma)]]+Yhteenveto[[#This Row],[Lisäosat yhteensä]]+Yhteenveto[[#This Row],[Valtionosuuteen tehtävät vähennykset ja lisäykset, netto]]</f>
        <v>1893227.4089205619</v>
      </c>
      <c r="M84" s="34">
        <v>2290165.0007617641</v>
      </c>
      <c r="N84" s="303">
        <f>SUM(Yhteenveto[[#This Row],[Valtionosuus ennen verotuloihin perustuvaa valtionosuuden tasausta]]+Yhteenveto[[#This Row],[Verotuloihin perustuva valtionosuuden tasaus]])</f>
        <v>4183392.409682326</v>
      </c>
      <c r="O84" s="241">
        <v>551145.92916101415</v>
      </c>
      <c r="P84" s="372">
        <f>SUM(Yhteenveto[[#This Row],[Kunnan  peruspalvelujen valtionosuus ]:[Veroperustemuutoksista johtuvien veromenetysten korvaus]])</f>
        <v>4734538.3388433401</v>
      </c>
      <c r="Q84" s="34">
        <v>300801.71549999999</v>
      </c>
      <c r="R84" s="341">
        <f>+Yhteenveto[[#This Row],[Kunnan  peruspalvelujen valtionosuus ]]+Yhteenveto[[#This Row],[Veroperustemuutoksista johtuvien veromenetysten korvaus]]+Yhteenveto[[#This Row],[Kotikuntakorvaus, netto (ei päivitetty)]]</f>
        <v>5035340.05434334</v>
      </c>
      <c r="S84" s="11"/>
      <c r="T84"/>
    </row>
    <row r="85" spans="1:20" ht="15">
      <c r="A85" s="32">
        <v>239</v>
      </c>
      <c r="B85" s="13" t="s">
        <v>90</v>
      </c>
      <c r="C85" s="15">
        <v>2035</v>
      </c>
      <c r="D85" s="15">
        <v>2265523.0499999998</v>
      </c>
      <c r="E85" s="15">
        <v>769675.03013027622</v>
      </c>
      <c r="F85" s="231">
        <f>Yhteenveto[[#This Row],[Ikärakenne, laskennallinen kustannus]]+Yhteenveto[[#This Row],[Muut laskennalliset kustannukset ]]</f>
        <v>3035198.0801302763</v>
      </c>
      <c r="G85" s="508">
        <v>1422.47</v>
      </c>
      <c r="H85" s="17">
        <v>2894726.45</v>
      </c>
      <c r="I85" s="339">
        <f>Yhteenveto[[#This Row],[Laskennalliset kustannukset yhteensä]]-Yhteenveto[[#This Row],[Omarahoitusosuus, €]]</f>
        <v>140471.63013027608</v>
      </c>
      <c r="J85" s="33">
        <v>686867.89319446846</v>
      </c>
      <c r="K85" s="34">
        <v>-55480.37544865736</v>
      </c>
      <c r="L85" s="231">
        <f>Yhteenveto[[#This Row],[Valtionosuus omarahoitusosuuden jälkeen (välisumma)]]+Yhteenveto[[#This Row],[Lisäosat yhteensä]]+Yhteenveto[[#This Row],[Valtionosuuteen tehtävät vähennykset ja lisäykset, netto]]</f>
        <v>771859.14787608723</v>
      </c>
      <c r="M85" s="34">
        <v>166586.34167529247</v>
      </c>
      <c r="N85" s="303">
        <f>SUM(Yhteenveto[[#This Row],[Valtionosuus ennen verotuloihin perustuvaa valtionosuuden tasausta]]+Yhteenveto[[#This Row],[Verotuloihin perustuva valtionosuuden tasaus]])</f>
        <v>938445.48955137969</v>
      </c>
      <c r="O85" s="241">
        <v>353097.51365372853</v>
      </c>
      <c r="P85" s="372">
        <f>SUM(Yhteenveto[[#This Row],[Kunnan  peruspalvelujen valtionosuus ]:[Veroperustemuutoksista johtuvien veromenetysten korvaus]])</f>
        <v>1291543.0032051082</v>
      </c>
      <c r="Q85" s="34">
        <v>3699.7880000000005</v>
      </c>
      <c r="R85" s="341">
        <f>+Yhteenveto[[#This Row],[Kunnan  peruspalvelujen valtionosuus ]]+Yhteenveto[[#This Row],[Veroperustemuutoksista johtuvien veromenetysten korvaus]]+Yhteenveto[[#This Row],[Kotikuntakorvaus, netto (ei päivitetty)]]</f>
        <v>1295242.7912051082</v>
      </c>
      <c r="S85" s="11"/>
      <c r="T85"/>
    </row>
    <row r="86" spans="1:20" ht="15">
      <c r="A86" s="32">
        <v>240</v>
      </c>
      <c r="B86" s="13" t="s">
        <v>91</v>
      </c>
      <c r="C86" s="15">
        <v>19371</v>
      </c>
      <c r="D86" s="15">
        <v>26786161.909999996</v>
      </c>
      <c r="E86" s="15">
        <v>6162105.7190457089</v>
      </c>
      <c r="F86" s="231">
        <f>Yhteenveto[[#This Row],[Ikärakenne, laskennallinen kustannus]]+Yhteenveto[[#This Row],[Muut laskennalliset kustannukset ]]</f>
        <v>32948267.629045706</v>
      </c>
      <c r="G86" s="508">
        <v>1422.47</v>
      </c>
      <c r="H86" s="17">
        <v>27554666.370000001</v>
      </c>
      <c r="I86" s="339">
        <f>Yhteenveto[[#This Row],[Laskennalliset kustannukset yhteensä]]-Yhteenveto[[#This Row],[Omarahoitusosuus, €]]</f>
        <v>5393601.2590457052</v>
      </c>
      <c r="J86" s="33">
        <v>748579.77004315308</v>
      </c>
      <c r="K86" s="34">
        <v>-13268029.357881837</v>
      </c>
      <c r="L86" s="231">
        <f>Yhteenveto[[#This Row],[Valtionosuus omarahoitusosuuden jälkeen (välisumma)]]+Yhteenveto[[#This Row],[Lisäosat yhteensä]]+Yhteenveto[[#This Row],[Valtionosuuteen tehtävät vähennykset ja lisäykset, netto]]</f>
        <v>-7125848.3287929781</v>
      </c>
      <c r="M86" s="34">
        <v>4993933.190068488</v>
      </c>
      <c r="N86" s="303">
        <f>SUM(Yhteenveto[[#This Row],[Valtionosuus ennen verotuloihin perustuvaa valtionosuuden tasausta]]+Yhteenveto[[#This Row],[Verotuloihin perustuva valtionosuuden tasaus]])</f>
        <v>-2131915.1387244901</v>
      </c>
      <c r="O86" s="241">
        <v>1834099.6022493725</v>
      </c>
      <c r="P86" s="372">
        <f>SUM(Yhteenveto[[#This Row],[Kunnan  peruspalvelujen valtionosuus ]:[Veroperustemuutoksista johtuvien veromenetysten korvaus]])</f>
        <v>-297815.53647511755</v>
      </c>
      <c r="Q86" s="34">
        <v>-189196.41699999996</v>
      </c>
      <c r="R86" s="341">
        <f>+Yhteenveto[[#This Row],[Kunnan  peruspalvelujen valtionosuus ]]+Yhteenveto[[#This Row],[Veroperustemuutoksista johtuvien veromenetysten korvaus]]+Yhteenveto[[#This Row],[Kotikuntakorvaus, netto (ei päivitetty)]]</f>
        <v>-487011.95347511751</v>
      </c>
      <c r="S86" s="11"/>
      <c r="T86"/>
    </row>
    <row r="87" spans="1:20" ht="15">
      <c r="A87" s="32">
        <v>241</v>
      </c>
      <c r="B87" s="13" t="s">
        <v>92</v>
      </c>
      <c r="C87" s="15">
        <v>7691</v>
      </c>
      <c r="D87" s="15">
        <v>12174784.720000001</v>
      </c>
      <c r="E87" s="15">
        <v>1535708.0070056054</v>
      </c>
      <c r="F87" s="231">
        <f>Yhteenveto[[#This Row],[Ikärakenne, laskennallinen kustannus]]+Yhteenveto[[#This Row],[Muut laskennalliset kustannukset ]]</f>
        <v>13710492.727005607</v>
      </c>
      <c r="G87" s="508">
        <v>1422.47</v>
      </c>
      <c r="H87" s="17">
        <v>10940216.77</v>
      </c>
      <c r="I87" s="339">
        <f>Yhteenveto[[#This Row],[Laskennalliset kustannukset yhteensä]]-Yhteenveto[[#This Row],[Omarahoitusosuus, €]]</f>
        <v>2770275.957005607</v>
      </c>
      <c r="J87" s="33">
        <v>283431.84960932203</v>
      </c>
      <c r="K87" s="34">
        <v>-2971614.5421633711</v>
      </c>
      <c r="L87" s="231">
        <f>Yhteenveto[[#This Row],[Valtionosuus omarahoitusosuuden jälkeen (välisumma)]]+Yhteenveto[[#This Row],[Lisäosat yhteensä]]+Yhteenveto[[#This Row],[Valtionosuuteen tehtävät vähennykset ja lisäykset, netto]]</f>
        <v>82093.26445155777</v>
      </c>
      <c r="M87" s="34">
        <v>1922828.5248908934</v>
      </c>
      <c r="N87" s="303">
        <f>SUM(Yhteenveto[[#This Row],[Valtionosuus ennen verotuloihin perustuvaa valtionosuuden tasausta]]+Yhteenveto[[#This Row],[Verotuloihin perustuva valtionosuuden tasaus]])</f>
        <v>2004921.7893424511</v>
      </c>
      <c r="O87" s="241">
        <v>616568.30058993271</v>
      </c>
      <c r="P87" s="372">
        <f>SUM(Yhteenveto[[#This Row],[Kunnan  peruspalvelujen valtionosuus ]:[Veroperustemuutoksista johtuvien veromenetysten korvaus]])</f>
        <v>2621490.089932384</v>
      </c>
      <c r="Q87" s="34">
        <v>173352.97000000003</v>
      </c>
      <c r="R87" s="341">
        <f>+Yhteenveto[[#This Row],[Kunnan  peruspalvelujen valtionosuus ]]+Yhteenveto[[#This Row],[Veroperustemuutoksista johtuvien veromenetysten korvaus]]+Yhteenveto[[#This Row],[Kotikuntakorvaus, netto (ei päivitetty)]]</f>
        <v>2794843.0599323842</v>
      </c>
      <c r="S87" s="11"/>
      <c r="T87"/>
    </row>
    <row r="88" spans="1:20" ht="15">
      <c r="A88" s="32">
        <v>244</v>
      </c>
      <c r="B88" s="13" t="s">
        <v>93</v>
      </c>
      <c r="C88" s="15">
        <v>19514</v>
      </c>
      <c r="D88" s="15">
        <v>43374830.649999999</v>
      </c>
      <c r="E88" s="15">
        <v>2630559.1338932565</v>
      </c>
      <c r="F88" s="231">
        <f>Yhteenveto[[#This Row],[Ikärakenne, laskennallinen kustannus]]+Yhteenveto[[#This Row],[Muut laskennalliset kustannukset ]]</f>
        <v>46005389.783893257</v>
      </c>
      <c r="G88" s="508">
        <v>1422.47</v>
      </c>
      <c r="H88" s="17">
        <v>27758079.580000002</v>
      </c>
      <c r="I88" s="339">
        <f>Yhteenveto[[#This Row],[Laskennalliset kustannukset yhteensä]]-Yhteenveto[[#This Row],[Omarahoitusosuus, €]]</f>
        <v>18247310.203893255</v>
      </c>
      <c r="J88" s="33">
        <v>898084.87330158066</v>
      </c>
      <c r="K88" s="34">
        <v>-696710.36329116113</v>
      </c>
      <c r="L88" s="231">
        <f>Yhteenveto[[#This Row],[Valtionosuus omarahoitusosuuden jälkeen (välisumma)]]+Yhteenveto[[#This Row],[Lisäosat yhteensä]]+Yhteenveto[[#This Row],[Valtionosuuteen tehtävät vähennykset ja lisäykset, netto]]</f>
        <v>18448684.713903673</v>
      </c>
      <c r="M88" s="34">
        <v>3696461.7772939485</v>
      </c>
      <c r="N88" s="303">
        <f>SUM(Yhteenveto[[#This Row],[Valtionosuus ennen verotuloihin perustuvaa valtionosuuden tasausta]]+Yhteenveto[[#This Row],[Verotuloihin perustuva valtionosuuden tasaus]])</f>
        <v>22145146.491197623</v>
      </c>
      <c r="O88" s="241">
        <v>923682.63573941821</v>
      </c>
      <c r="P88" s="372">
        <f>SUM(Yhteenveto[[#This Row],[Kunnan  peruspalvelujen valtionosuus ]:[Veroperustemuutoksista johtuvien veromenetysten korvaus]])</f>
        <v>23068829.126937043</v>
      </c>
      <c r="Q88" s="34">
        <v>109237.73254999996</v>
      </c>
      <c r="R88" s="341">
        <f>+Yhteenveto[[#This Row],[Kunnan  peruspalvelujen valtionosuus ]]+Yhteenveto[[#This Row],[Veroperustemuutoksista johtuvien veromenetysten korvaus]]+Yhteenveto[[#This Row],[Kotikuntakorvaus, netto (ei päivitetty)]]</f>
        <v>23178066.859487042</v>
      </c>
      <c r="S88" s="11"/>
      <c r="T88"/>
    </row>
    <row r="89" spans="1:20" ht="15">
      <c r="A89" s="32">
        <v>245</v>
      </c>
      <c r="B89" s="13" t="s">
        <v>94</v>
      </c>
      <c r="C89" s="15">
        <v>38211</v>
      </c>
      <c r="D89" s="15">
        <v>60027152.350000001</v>
      </c>
      <c r="E89" s="15">
        <v>17563548.007604856</v>
      </c>
      <c r="F89" s="231">
        <f>Yhteenveto[[#This Row],[Ikärakenne, laskennallinen kustannus]]+Yhteenveto[[#This Row],[Muut laskennalliset kustannukset ]]</f>
        <v>77590700.357604861</v>
      </c>
      <c r="G89" s="508">
        <v>1422.47</v>
      </c>
      <c r="H89" s="17">
        <v>54354001.170000002</v>
      </c>
      <c r="I89" s="339">
        <f>Yhteenveto[[#This Row],[Laskennalliset kustannukset yhteensä]]-Yhteenveto[[#This Row],[Omarahoitusosuus, €]]</f>
        <v>23236699.187604859</v>
      </c>
      <c r="J89" s="33">
        <v>1570661.218888541</v>
      </c>
      <c r="K89" s="34">
        <v>-7971776.0568653224</v>
      </c>
      <c r="L89" s="231">
        <f>Yhteenveto[[#This Row],[Valtionosuus omarahoitusosuuden jälkeen (välisumma)]]+Yhteenveto[[#This Row],[Lisäosat yhteensä]]+Yhteenveto[[#This Row],[Valtionosuuteen tehtävät vähennykset ja lisäykset, netto]]</f>
        <v>16835584.349628076</v>
      </c>
      <c r="M89" s="34">
        <v>1267029.0710532977</v>
      </c>
      <c r="N89" s="303">
        <f>SUM(Yhteenveto[[#This Row],[Valtionosuus ennen verotuloihin perustuvaa valtionosuuden tasausta]]+Yhteenveto[[#This Row],[Verotuloihin perustuva valtionosuuden tasaus]])</f>
        <v>18102613.420681372</v>
      </c>
      <c r="O89" s="241">
        <v>2879881.6675811997</v>
      </c>
      <c r="P89" s="372">
        <f>SUM(Yhteenveto[[#This Row],[Kunnan  peruspalvelujen valtionosuus ]:[Veroperustemuutoksista johtuvien veromenetysten korvaus]])</f>
        <v>20982495.088262573</v>
      </c>
      <c r="Q89" s="34">
        <v>-1207091.6394000002</v>
      </c>
      <c r="R89" s="341">
        <f>+Yhteenveto[[#This Row],[Kunnan  peruspalvelujen valtionosuus ]]+Yhteenveto[[#This Row],[Veroperustemuutoksista johtuvien veromenetysten korvaus]]+Yhteenveto[[#This Row],[Kotikuntakorvaus, netto (ei päivitetty)]]</f>
        <v>19775403.448862571</v>
      </c>
      <c r="S89" s="11"/>
      <c r="T89"/>
    </row>
    <row r="90" spans="1:20" ht="15">
      <c r="A90" s="32">
        <v>249</v>
      </c>
      <c r="B90" s="13" t="s">
        <v>95</v>
      </c>
      <c r="C90" s="15">
        <v>9184</v>
      </c>
      <c r="D90" s="15">
        <v>11834690.43</v>
      </c>
      <c r="E90" s="15">
        <v>3080496.0586395925</v>
      </c>
      <c r="F90" s="231">
        <f>Yhteenveto[[#This Row],[Ikärakenne, laskennallinen kustannus]]+Yhteenveto[[#This Row],[Muut laskennalliset kustannukset ]]</f>
        <v>14915186.488639593</v>
      </c>
      <c r="G90" s="508">
        <v>1422.47</v>
      </c>
      <c r="H90" s="17">
        <v>13063964.48</v>
      </c>
      <c r="I90" s="339">
        <f>Yhteenveto[[#This Row],[Laskennalliset kustannukset yhteensä]]-Yhteenveto[[#This Row],[Omarahoitusosuus, €]]</f>
        <v>1851222.0086395927</v>
      </c>
      <c r="J90" s="33">
        <v>725016.0310337902</v>
      </c>
      <c r="K90" s="34">
        <v>803379.16439004219</v>
      </c>
      <c r="L90" s="231">
        <f>Yhteenveto[[#This Row],[Valtionosuus omarahoitusosuuden jälkeen (välisumma)]]+Yhteenveto[[#This Row],[Lisäosat yhteensä]]+Yhteenveto[[#This Row],[Valtionosuuteen tehtävät vähennykset ja lisäykset, netto]]</f>
        <v>3379617.2040634248</v>
      </c>
      <c r="M90" s="34">
        <v>2996023.0654833117</v>
      </c>
      <c r="N90" s="303">
        <f>SUM(Yhteenveto[[#This Row],[Valtionosuus ennen verotuloihin perustuvaa valtionosuuden tasausta]]+Yhteenveto[[#This Row],[Verotuloihin perustuva valtionosuuden tasaus]])</f>
        <v>6375640.269546736</v>
      </c>
      <c r="O90" s="241">
        <v>1081588.8480448562</v>
      </c>
      <c r="P90" s="372">
        <f>SUM(Yhteenveto[[#This Row],[Kunnan  peruspalvelujen valtionosuus ]:[Veroperustemuutoksista johtuvien veromenetysten korvaus]])</f>
        <v>7457229.1175915925</v>
      </c>
      <c r="Q90" s="34">
        <v>-37355.923999999999</v>
      </c>
      <c r="R90" s="341">
        <f>+Yhteenveto[[#This Row],[Kunnan  peruspalvelujen valtionosuus ]]+Yhteenveto[[#This Row],[Veroperustemuutoksista johtuvien veromenetysten korvaus]]+Yhteenveto[[#This Row],[Kotikuntakorvaus, netto (ei päivitetty)]]</f>
        <v>7419873.1935915928</v>
      </c>
      <c r="S90" s="11"/>
      <c r="T90"/>
    </row>
    <row r="91" spans="1:20" ht="15">
      <c r="A91" s="32">
        <v>250</v>
      </c>
      <c r="B91" s="13" t="s">
        <v>96</v>
      </c>
      <c r="C91" s="15">
        <v>1749</v>
      </c>
      <c r="D91" s="15">
        <v>2091681.88</v>
      </c>
      <c r="E91" s="15">
        <v>553361.21772614354</v>
      </c>
      <c r="F91" s="231">
        <f>Yhteenveto[[#This Row],[Ikärakenne, laskennallinen kustannus]]+Yhteenveto[[#This Row],[Muut laskennalliset kustannukset ]]</f>
        <v>2645043.0977261434</v>
      </c>
      <c r="G91" s="508">
        <v>1422.47</v>
      </c>
      <c r="H91" s="17">
        <v>2487900.0300000003</v>
      </c>
      <c r="I91" s="339">
        <f>Yhteenveto[[#This Row],[Laskennalliset kustannukset yhteensä]]-Yhteenveto[[#This Row],[Omarahoitusosuus, €]]</f>
        <v>157143.06772614317</v>
      </c>
      <c r="J91" s="33">
        <v>252688.21286544076</v>
      </c>
      <c r="K91" s="34">
        <v>-21962.481578067447</v>
      </c>
      <c r="L91" s="231">
        <f>Yhteenveto[[#This Row],[Valtionosuus omarahoitusosuuden jälkeen (välisumma)]]+Yhteenveto[[#This Row],[Lisäosat yhteensä]]+Yhteenveto[[#This Row],[Valtionosuuteen tehtävät vähennykset ja lisäykset, netto]]</f>
        <v>387868.79901351646</v>
      </c>
      <c r="M91" s="34">
        <v>773681.67970483785</v>
      </c>
      <c r="N91" s="303">
        <f>SUM(Yhteenveto[[#This Row],[Valtionosuus ennen verotuloihin perustuvaa valtionosuuden tasausta]]+Yhteenveto[[#This Row],[Verotuloihin perustuva valtionosuuden tasaus]])</f>
        <v>1161550.4787183544</v>
      </c>
      <c r="O91" s="241">
        <v>337660.94407018065</v>
      </c>
      <c r="P91" s="372">
        <f>SUM(Yhteenveto[[#This Row],[Kunnan  peruspalvelujen valtionosuus ]:[Veroperustemuutoksista johtuvien veromenetysten korvaus]])</f>
        <v>1499211.422788535</v>
      </c>
      <c r="Q91" s="34">
        <v>43412.834999999999</v>
      </c>
      <c r="R91" s="341">
        <f>+Yhteenveto[[#This Row],[Kunnan  peruspalvelujen valtionosuus ]]+Yhteenveto[[#This Row],[Veroperustemuutoksista johtuvien veromenetysten korvaus]]+Yhteenveto[[#This Row],[Kotikuntakorvaus, netto (ei päivitetty)]]</f>
        <v>1542624.257788535</v>
      </c>
      <c r="S91" s="11"/>
      <c r="T91"/>
    </row>
    <row r="92" spans="1:20" ht="15">
      <c r="A92" s="32">
        <v>256</v>
      </c>
      <c r="B92" s="13" t="s">
        <v>97</v>
      </c>
      <c r="C92" s="15">
        <v>1523</v>
      </c>
      <c r="D92" s="15">
        <v>2607534.2200000002</v>
      </c>
      <c r="E92" s="15">
        <v>637187.04946819204</v>
      </c>
      <c r="F92" s="231">
        <f>Yhteenveto[[#This Row],[Ikärakenne, laskennallinen kustannus]]+Yhteenveto[[#This Row],[Muut laskennalliset kustannukset ]]</f>
        <v>3244721.269468192</v>
      </c>
      <c r="G92" s="508">
        <v>1422.47</v>
      </c>
      <c r="H92" s="17">
        <v>2166421.81</v>
      </c>
      <c r="I92" s="339">
        <f>Yhteenveto[[#This Row],[Laskennalliset kustannukset yhteensä]]-Yhteenveto[[#This Row],[Omarahoitusosuus, €]]</f>
        <v>1078299.459468192</v>
      </c>
      <c r="J92" s="33">
        <v>534796.57294443389</v>
      </c>
      <c r="K92" s="34">
        <v>-743573.61168921879</v>
      </c>
      <c r="L92" s="231">
        <f>Yhteenveto[[#This Row],[Valtionosuus omarahoitusosuuden jälkeen (välisumma)]]+Yhteenveto[[#This Row],[Lisäosat yhteensä]]+Yhteenveto[[#This Row],[Valtionosuuteen tehtävät vähennykset ja lisäykset, netto]]</f>
        <v>869522.42072340706</v>
      </c>
      <c r="M92" s="34">
        <v>998417.26788479579</v>
      </c>
      <c r="N92" s="303">
        <f>SUM(Yhteenveto[[#This Row],[Valtionosuus ennen verotuloihin perustuvaa valtionosuuden tasausta]]+Yhteenveto[[#This Row],[Verotuloihin perustuva valtionosuuden tasaus]])</f>
        <v>1867939.6886082029</v>
      </c>
      <c r="O92" s="241">
        <v>258047.75556831161</v>
      </c>
      <c r="P92" s="372">
        <f>SUM(Yhteenveto[[#This Row],[Kunnan  peruspalvelujen valtionosuus ]:[Veroperustemuutoksista johtuvien veromenetysten korvaus]])</f>
        <v>2125987.4441765146</v>
      </c>
      <c r="Q92" s="34">
        <v>118005.33500000001</v>
      </c>
      <c r="R92" s="341">
        <f>+Yhteenveto[[#This Row],[Kunnan  peruspalvelujen valtionosuus ]]+Yhteenveto[[#This Row],[Veroperustemuutoksista johtuvien veromenetysten korvaus]]+Yhteenveto[[#This Row],[Kotikuntakorvaus, netto (ei päivitetty)]]</f>
        <v>2243992.7791765146</v>
      </c>
      <c r="S92" s="11"/>
      <c r="T92"/>
    </row>
    <row r="93" spans="1:20" ht="15">
      <c r="A93" s="32">
        <v>257</v>
      </c>
      <c r="B93" s="13" t="s">
        <v>98</v>
      </c>
      <c r="C93" s="15">
        <v>41154</v>
      </c>
      <c r="D93" s="15">
        <v>72563405.010000005</v>
      </c>
      <c r="E93" s="15">
        <v>16759516.624940328</v>
      </c>
      <c r="F93" s="231">
        <f>Yhteenveto[[#This Row],[Ikärakenne, laskennallinen kustannus]]+Yhteenveto[[#This Row],[Muut laskennalliset kustannukset ]]</f>
        <v>89322921.634940326</v>
      </c>
      <c r="G93" s="508">
        <v>1422.47</v>
      </c>
      <c r="H93" s="17">
        <v>58540330.380000003</v>
      </c>
      <c r="I93" s="339">
        <f>Yhteenveto[[#This Row],[Laskennalliset kustannukset yhteensä]]-Yhteenveto[[#This Row],[Omarahoitusosuus, €]]</f>
        <v>30782591.254940324</v>
      </c>
      <c r="J93" s="33">
        <v>1445313.5104775019</v>
      </c>
      <c r="K93" s="34">
        <v>5717205.1778256148</v>
      </c>
      <c r="L93" s="231">
        <f>Yhteenveto[[#This Row],[Valtionosuus omarahoitusosuuden jälkeen (välisumma)]]+Yhteenveto[[#This Row],[Lisäosat yhteensä]]+Yhteenveto[[#This Row],[Valtionosuuteen tehtävät vähennykset ja lisäykset, netto]]</f>
        <v>37945109.943243444</v>
      </c>
      <c r="M93" s="34">
        <v>-1047457.2356230312</v>
      </c>
      <c r="N93" s="303">
        <f>SUM(Yhteenveto[[#This Row],[Valtionosuus ennen verotuloihin perustuvaa valtionosuuden tasausta]]+Yhteenveto[[#This Row],[Verotuloihin perustuva valtionosuuden tasaus]])</f>
        <v>36897652.707620412</v>
      </c>
      <c r="O93" s="241">
        <v>2558190.7321164985</v>
      </c>
      <c r="P93" s="372">
        <f>SUM(Yhteenveto[[#This Row],[Kunnan  peruspalvelujen valtionosuus ]:[Veroperustemuutoksista johtuvien veromenetysten korvaus]])</f>
        <v>39455843.43973691</v>
      </c>
      <c r="Q93" s="34">
        <v>-550468.78040000028</v>
      </c>
      <c r="R93" s="341">
        <f>+Yhteenveto[[#This Row],[Kunnan  peruspalvelujen valtionosuus ]]+Yhteenveto[[#This Row],[Veroperustemuutoksista johtuvien veromenetysten korvaus]]+Yhteenveto[[#This Row],[Kotikuntakorvaus, netto (ei päivitetty)]]</f>
        <v>38905374.65933691</v>
      </c>
      <c r="S93" s="11"/>
      <c r="T93"/>
    </row>
    <row r="94" spans="1:20" ht="15">
      <c r="A94" s="32">
        <v>260</v>
      </c>
      <c r="B94" s="13" t="s">
        <v>99</v>
      </c>
      <c r="C94" s="15">
        <v>9689</v>
      </c>
      <c r="D94" s="15">
        <v>10607334.27</v>
      </c>
      <c r="E94" s="15">
        <v>4406939.4191014078</v>
      </c>
      <c r="F94" s="231">
        <f>Yhteenveto[[#This Row],[Ikärakenne, laskennallinen kustannus]]+Yhteenveto[[#This Row],[Muut laskennalliset kustannukset ]]</f>
        <v>15014273.689101407</v>
      </c>
      <c r="G94" s="508">
        <v>1422.47</v>
      </c>
      <c r="H94" s="17">
        <v>13782311.83</v>
      </c>
      <c r="I94" s="339">
        <f>Yhteenveto[[#This Row],[Laskennalliset kustannukset yhteensä]]-Yhteenveto[[#This Row],[Omarahoitusosuus, €]]</f>
        <v>1231961.8591014072</v>
      </c>
      <c r="J94" s="33">
        <v>1472260.3999418332</v>
      </c>
      <c r="K94" s="34">
        <v>4109436.5140369753</v>
      </c>
      <c r="L94" s="231">
        <f>Yhteenveto[[#This Row],[Valtionosuus omarahoitusosuuden jälkeen (välisumma)]]+Yhteenveto[[#This Row],[Lisäosat yhteensä]]+Yhteenveto[[#This Row],[Valtionosuuteen tehtävät vähennykset ja lisäykset, netto]]</f>
        <v>6813658.7730802158</v>
      </c>
      <c r="M94" s="34">
        <v>5433777.9492634553</v>
      </c>
      <c r="N94" s="303">
        <f>SUM(Yhteenveto[[#This Row],[Valtionosuus ennen verotuloihin perustuvaa valtionosuuden tasausta]]+Yhteenveto[[#This Row],[Verotuloihin perustuva valtionosuuden tasaus]])</f>
        <v>12247436.722343672</v>
      </c>
      <c r="O94" s="241">
        <v>1644404.4447822773</v>
      </c>
      <c r="P94" s="372">
        <f>SUM(Yhteenveto[[#This Row],[Kunnan  peruspalvelujen valtionosuus ]:[Veroperustemuutoksista johtuvien veromenetysten korvaus]])</f>
        <v>13891841.16712595</v>
      </c>
      <c r="Q94" s="34">
        <v>-41548.022500000006</v>
      </c>
      <c r="R94" s="341">
        <f>+Yhteenveto[[#This Row],[Kunnan  peruspalvelujen valtionosuus ]]+Yhteenveto[[#This Row],[Veroperustemuutoksista johtuvien veromenetysten korvaus]]+Yhteenveto[[#This Row],[Kotikuntakorvaus, netto (ei päivitetty)]]</f>
        <v>13850293.144625949</v>
      </c>
      <c r="S94" s="11"/>
      <c r="T94"/>
    </row>
    <row r="95" spans="1:20" ht="15">
      <c r="A95" s="32">
        <v>261</v>
      </c>
      <c r="B95" s="13" t="s">
        <v>100</v>
      </c>
      <c r="C95" s="15">
        <v>6822</v>
      </c>
      <c r="D95" s="15">
        <v>10053042.419999998</v>
      </c>
      <c r="E95" s="15">
        <v>7153346.8812988298</v>
      </c>
      <c r="F95" s="231">
        <f>Yhteenveto[[#This Row],[Ikärakenne, laskennallinen kustannus]]+Yhteenveto[[#This Row],[Muut laskennalliset kustannukset ]]</f>
        <v>17206389.301298827</v>
      </c>
      <c r="G95" s="508">
        <v>1422.47</v>
      </c>
      <c r="H95" s="17">
        <v>9704090.3399999999</v>
      </c>
      <c r="I95" s="339">
        <f>Yhteenveto[[#This Row],[Laskennalliset kustannukset yhteensä]]-Yhteenveto[[#This Row],[Omarahoitusosuus, €]]</f>
        <v>7502298.9612988271</v>
      </c>
      <c r="J95" s="33">
        <v>2509710.0910206232</v>
      </c>
      <c r="K95" s="34">
        <v>2246411.0316037987</v>
      </c>
      <c r="L95" s="231">
        <f>Yhteenveto[[#This Row],[Valtionosuus omarahoitusosuuden jälkeen (välisumma)]]+Yhteenveto[[#This Row],[Lisäosat yhteensä]]+Yhteenveto[[#This Row],[Valtionosuuteen tehtävät vähennykset ja lisäykset, netto]]</f>
        <v>12258420.083923249</v>
      </c>
      <c r="M95" s="34">
        <v>-551451.16971217457</v>
      </c>
      <c r="N95" s="303">
        <f>SUM(Yhteenveto[[#This Row],[Valtionosuus ennen verotuloihin perustuvaa valtionosuuden tasausta]]+Yhteenveto[[#This Row],[Verotuloihin perustuva valtionosuuden tasaus]])</f>
        <v>11706968.914211074</v>
      </c>
      <c r="O95" s="241">
        <v>767337.66766363767</v>
      </c>
      <c r="P95" s="372">
        <f>SUM(Yhteenveto[[#This Row],[Kunnan  peruspalvelujen valtionosuus ]:[Veroperustemuutoksista johtuvien veromenetysten korvaus]])</f>
        <v>12474306.581874711</v>
      </c>
      <c r="Q95" s="34">
        <v>-29314.852499999979</v>
      </c>
      <c r="R95" s="341">
        <f>+Yhteenveto[[#This Row],[Kunnan  peruspalvelujen valtionosuus ]]+Yhteenveto[[#This Row],[Veroperustemuutoksista johtuvien veromenetysten korvaus]]+Yhteenveto[[#This Row],[Kotikuntakorvaus, netto (ei päivitetty)]]</f>
        <v>12444991.729374712</v>
      </c>
      <c r="S95" s="11"/>
      <c r="T95"/>
    </row>
    <row r="96" spans="1:20" ht="15">
      <c r="A96" s="32">
        <v>263</v>
      </c>
      <c r="B96" s="13" t="s">
        <v>101</v>
      </c>
      <c r="C96" s="15">
        <v>7475</v>
      </c>
      <c r="D96" s="15">
        <v>10490922.289999999</v>
      </c>
      <c r="E96" s="15">
        <v>2398474.2618193747</v>
      </c>
      <c r="F96" s="231">
        <f>Yhteenveto[[#This Row],[Ikärakenne, laskennallinen kustannus]]+Yhteenveto[[#This Row],[Muut laskennalliset kustannukset ]]</f>
        <v>12889396.551819373</v>
      </c>
      <c r="G96" s="508">
        <v>1422.47</v>
      </c>
      <c r="H96" s="17">
        <v>10632963.25</v>
      </c>
      <c r="I96" s="339">
        <f>Yhteenveto[[#This Row],[Laskennalliset kustannukset yhteensä]]-Yhteenveto[[#This Row],[Omarahoitusosuus, €]]</f>
        <v>2256433.3018193729</v>
      </c>
      <c r="J96" s="33">
        <v>609799.60203049029</v>
      </c>
      <c r="K96" s="34">
        <v>1046979.8150013627</v>
      </c>
      <c r="L96" s="231">
        <f>Yhteenveto[[#This Row],[Valtionosuus omarahoitusosuuden jälkeen (välisumma)]]+Yhteenveto[[#This Row],[Lisäosat yhteensä]]+Yhteenveto[[#This Row],[Valtionosuuteen tehtävät vähennykset ja lisäykset, netto]]</f>
        <v>3913212.7188512264</v>
      </c>
      <c r="M96" s="34">
        <v>4865960.2196710156</v>
      </c>
      <c r="N96" s="303">
        <f>SUM(Yhteenveto[[#This Row],[Valtionosuus ennen verotuloihin perustuvaa valtionosuuden tasausta]]+Yhteenveto[[#This Row],[Verotuloihin perustuva valtionosuuden tasaus]])</f>
        <v>8779172.938522242</v>
      </c>
      <c r="O96" s="241">
        <v>1291802.2406470729</v>
      </c>
      <c r="P96" s="372">
        <f>SUM(Yhteenveto[[#This Row],[Kunnan  peruspalvelujen valtionosuus ]:[Veroperustemuutoksista johtuvien veromenetysten korvaus]])</f>
        <v>10070975.179169316</v>
      </c>
      <c r="Q96" s="34">
        <v>170220.0849999999</v>
      </c>
      <c r="R96" s="341">
        <f>+Yhteenveto[[#This Row],[Kunnan  peruspalvelujen valtionosuus ]]+Yhteenveto[[#This Row],[Veroperustemuutoksista johtuvien veromenetysten korvaus]]+Yhteenveto[[#This Row],[Kotikuntakorvaus, netto (ei päivitetty)]]</f>
        <v>10241195.264169315</v>
      </c>
      <c r="S96" s="11"/>
      <c r="T96"/>
    </row>
    <row r="97" spans="1:20" ht="15">
      <c r="A97" s="32">
        <v>265</v>
      </c>
      <c r="B97" s="13" t="s">
        <v>102</v>
      </c>
      <c r="C97" s="15">
        <v>1035</v>
      </c>
      <c r="D97" s="15">
        <v>1351567.05</v>
      </c>
      <c r="E97" s="15">
        <v>632286.1283412039</v>
      </c>
      <c r="F97" s="231">
        <f>Yhteenveto[[#This Row],[Ikärakenne, laskennallinen kustannus]]+Yhteenveto[[#This Row],[Muut laskennalliset kustannukset ]]</f>
        <v>1983853.1783412038</v>
      </c>
      <c r="G97" s="508">
        <v>1422.47</v>
      </c>
      <c r="H97" s="17">
        <v>1472256.45</v>
      </c>
      <c r="I97" s="339">
        <f>Yhteenveto[[#This Row],[Laskennalliset kustannukset yhteensä]]-Yhteenveto[[#This Row],[Omarahoitusosuus, €]]</f>
        <v>511596.72834120388</v>
      </c>
      <c r="J97" s="33">
        <v>369394.46270639979</v>
      </c>
      <c r="K97" s="34">
        <v>481554.34071613103</v>
      </c>
      <c r="L97" s="231">
        <f>Yhteenveto[[#This Row],[Valtionosuus omarahoitusosuuden jälkeen (välisumma)]]+Yhteenveto[[#This Row],[Lisäosat yhteensä]]+Yhteenveto[[#This Row],[Valtionosuuteen tehtävät vähennykset ja lisäykset, netto]]</f>
        <v>1362545.5317637348</v>
      </c>
      <c r="M97" s="34">
        <v>453378.19154491939</v>
      </c>
      <c r="N97" s="303">
        <f>SUM(Yhteenveto[[#This Row],[Valtionosuus ennen verotuloihin perustuvaa valtionosuuden tasausta]]+Yhteenveto[[#This Row],[Verotuloihin perustuva valtionosuuden tasaus]])</f>
        <v>1815923.723308654</v>
      </c>
      <c r="O97" s="241">
        <v>185072.13421763398</v>
      </c>
      <c r="P97" s="372">
        <f>SUM(Yhteenveto[[#This Row],[Kunnan  peruspalvelujen valtionosuus ]:[Veroperustemuutoksista johtuvien veromenetysten korvaus]])</f>
        <v>2000995.8575262879</v>
      </c>
      <c r="Q97" s="34">
        <v>-77576.2</v>
      </c>
      <c r="R97" s="341">
        <f>+Yhteenveto[[#This Row],[Kunnan  peruspalvelujen valtionosuus ]]+Yhteenveto[[#This Row],[Veroperustemuutoksista johtuvien veromenetysten korvaus]]+Yhteenveto[[#This Row],[Kotikuntakorvaus, netto (ei päivitetty)]]</f>
        <v>1923419.6575262879</v>
      </c>
      <c r="S97" s="11"/>
      <c r="T97"/>
    </row>
    <row r="98" spans="1:20" ht="15">
      <c r="A98" s="32">
        <v>271</v>
      </c>
      <c r="B98" s="13" t="s">
        <v>103</v>
      </c>
      <c r="C98" s="15">
        <v>6766</v>
      </c>
      <c r="D98" s="15">
        <v>8558404.6799999997</v>
      </c>
      <c r="E98" s="15">
        <v>1675938.641924368</v>
      </c>
      <c r="F98" s="231">
        <f>Yhteenveto[[#This Row],[Ikärakenne, laskennallinen kustannus]]+Yhteenveto[[#This Row],[Muut laskennalliset kustannukset ]]</f>
        <v>10234343.321924368</v>
      </c>
      <c r="G98" s="508">
        <v>1422.47</v>
      </c>
      <c r="H98" s="17">
        <v>9624432.0199999996</v>
      </c>
      <c r="I98" s="339">
        <f>Yhteenveto[[#This Row],[Laskennalliset kustannukset yhteensä]]-Yhteenveto[[#This Row],[Omarahoitusosuus, €]]</f>
        <v>609911.30192436837</v>
      </c>
      <c r="J98" s="33">
        <v>218919.93141258339</v>
      </c>
      <c r="K98" s="34">
        <v>-1276168.6996155179</v>
      </c>
      <c r="L98" s="231">
        <f>Yhteenveto[[#This Row],[Valtionosuus omarahoitusosuuden jälkeen (välisumma)]]+Yhteenveto[[#This Row],[Lisäosat yhteensä]]+Yhteenveto[[#This Row],[Valtionosuuteen tehtävät vähennykset ja lisäykset, netto]]</f>
        <v>-447337.46627856605</v>
      </c>
      <c r="M98" s="34">
        <v>3226684.005191783</v>
      </c>
      <c r="N98" s="303">
        <f>SUM(Yhteenveto[[#This Row],[Valtionosuus ennen verotuloihin perustuvaa valtionosuuden tasausta]]+Yhteenveto[[#This Row],[Verotuloihin perustuva valtionosuuden tasaus]])</f>
        <v>2779346.5389132169</v>
      </c>
      <c r="O98" s="241">
        <v>948110.65714059421</v>
      </c>
      <c r="P98" s="372">
        <f>SUM(Yhteenveto[[#This Row],[Kunnan  peruspalvelujen valtionosuus ]:[Veroperustemuutoksista johtuvien veromenetysten korvaus]])</f>
        <v>3727457.1960538113</v>
      </c>
      <c r="Q98" s="34">
        <v>19517.87354999996</v>
      </c>
      <c r="R98" s="341">
        <f>+Yhteenveto[[#This Row],[Kunnan  peruspalvelujen valtionosuus ]]+Yhteenveto[[#This Row],[Veroperustemuutoksista johtuvien veromenetysten korvaus]]+Yhteenveto[[#This Row],[Kotikuntakorvaus, netto (ei päivitetty)]]</f>
        <v>3746975.0696038115</v>
      </c>
      <c r="S98" s="11"/>
      <c r="T98"/>
    </row>
    <row r="99" spans="1:20" ht="15">
      <c r="A99" s="32">
        <v>272</v>
      </c>
      <c r="B99" s="13" t="s">
        <v>104</v>
      </c>
      <c r="C99" s="15">
        <v>48295</v>
      </c>
      <c r="D99" s="15">
        <v>85417319.429999992</v>
      </c>
      <c r="E99" s="15">
        <v>14026082.969052633</v>
      </c>
      <c r="F99" s="231">
        <f>Yhteenveto[[#This Row],[Ikärakenne, laskennallinen kustannus]]+Yhteenveto[[#This Row],[Muut laskennalliset kustannukset ]]</f>
        <v>99443402.39905262</v>
      </c>
      <c r="G99" s="508">
        <v>1422.47</v>
      </c>
      <c r="H99" s="17">
        <v>68698188.650000006</v>
      </c>
      <c r="I99" s="339">
        <f>Yhteenveto[[#This Row],[Laskennalliset kustannukset yhteensä]]-Yhteenveto[[#This Row],[Omarahoitusosuus, €]]</f>
        <v>30745213.749052614</v>
      </c>
      <c r="J99" s="33">
        <v>1858412.7046655114</v>
      </c>
      <c r="K99" s="34">
        <v>-16663371.224374708</v>
      </c>
      <c r="L99" s="231">
        <f>Yhteenveto[[#This Row],[Valtionosuus omarahoitusosuuden jälkeen (välisumma)]]+Yhteenveto[[#This Row],[Lisäosat yhteensä]]+Yhteenveto[[#This Row],[Valtionosuuteen tehtävät vähennykset ja lisäykset, netto]]</f>
        <v>15940255.229343418</v>
      </c>
      <c r="M99" s="34">
        <v>10321622.385450037</v>
      </c>
      <c r="N99" s="303">
        <f>SUM(Yhteenveto[[#This Row],[Valtionosuus ennen verotuloihin perustuvaa valtionosuuden tasausta]]+Yhteenveto[[#This Row],[Verotuloihin perustuva valtionosuuden tasaus]])</f>
        <v>26261877.614793457</v>
      </c>
      <c r="O99" s="241">
        <v>4250916.1616255511</v>
      </c>
      <c r="P99" s="372">
        <f>SUM(Yhteenveto[[#This Row],[Kunnan  peruspalvelujen valtionosuus ]:[Veroperustemuutoksista johtuvien veromenetysten korvaus]])</f>
        <v>30512793.776419006</v>
      </c>
      <c r="Q99" s="34">
        <v>15888.20250000013</v>
      </c>
      <c r="R99" s="341">
        <f>+Yhteenveto[[#This Row],[Kunnan  peruspalvelujen valtionosuus ]]+Yhteenveto[[#This Row],[Veroperustemuutoksista johtuvien veromenetysten korvaus]]+Yhteenveto[[#This Row],[Kotikuntakorvaus, netto (ei päivitetty)]]</f>
        <v>30528681.978919007</v>
      </c>
      <c r="S99" s="11"/>
      <c r="T99"/>
    </row>
    <row r="100" spans="1:20" ht="15">
      <c r="A100" s="32">
        <v>273</v>
      </c>
      <c r="B100" s="13" t="s">
        <v>105</v>
      </c>
      <c r="C100" s="15">
        <v>4011</v>
      </c>
      <c r="D100" s="15">
        <v>6039556.3900000006</v>
      </c>
      <c r="E100" s="15">
        <v>2715087.5351897744</v>
      </c>
      <c r="F100" s="231">
        <f>Yhteenveto[[#This Row],[Ikärakenne, laskennallinen kustannus]]+Yhteenveto[[#This Row],[Muut laskennalliset kustannukset ]]</f>
        <v>8754643.9251897745</v>
      </c>
      <c r="G100" s="508">
        <v>1422.47</v>
      </c>
      <c r="H100" s="17">
        <v>5705527.1699999999</v>
      </c>
      <c r="I100" s="339">
        <f>Yhteenveto[[#This Row],[Laskennalliset kustannukset yhteensä]]-Yhteenveto[[#This Row],[Omarahoitusosuus, €]]</f>
        <v>3049116.7551897746</v>
      </c>
      <c r="J100" s="33">
        <v>1562588.7970938219</v>
      </c>
      <c r="K100" s="34">
        <v>69045.787032348686</v>
      </c>
      <c r="L100" s="231">
        <f>Yhteenveto[[#This Row],[Valtionosuus omarahoitusosuuden jälkeen (välisumma)]]+Yhteenveto[[#This Row],[Lisäosat yhteensä]]+Yhteenveto[[#This Row],[Valtionosuuteen tehtävät vähennykset ja lisäykset, netto]]</f>
        <v>4680751.3393159453</v>
      </c>
      <c r="M100" s="34">
        <v>-1507.3495695316678</v>
      </c>
      <c r="N100" s="303">
        <f>SUM(Yhteenveto[[#This Row],[Valtionosuus ennen verotuloihin perustuvaa valtionosuuden tasausta]]+Yhteenveto[[#This Row],[Verotuloihin perustuva valtionosuuden tasaus]])</f>
        <v>4679243.9897464132</v>
      </c>
      <c r="O100" s="241">
        <v>480817.20821794815</v>
      </c>
      <c r="P100" s="372">
        <f>SUM(Yhteenveto[[#This Row],[Kunnan  peruspalvelujen valtionosuus ]:[Veroperustemuutoksista johtuvien veromenetysten korvaus]])</f>
        <v>5160061.1979643609</v>
      </c>
      <c r="Q100" s="34">
        <v>171159.95050000001</v>
      </c>
      <c r="R100" s="341">
        <f>+Yhteenveto[[#This Row],[Kunnan  peruspalvelujen valtionosuus ]]+Yhteenveto[[#This Row],[Veroperustemuutoksista johtuvien veromenetysten korvaus]]+Yhteenveto[[#This Row],[Kotikuntakorvaus, netto (ei päivitetty)]]</f>
        <v>5331221.1484643612</v>
      </c>
      <c r="S100" s="11"/>
      <c r="T100"/>
    </row>
    <row r="101" spans="1:20" ht="15">
      <c r="A101" s="32">
        <v>275</v>
      </c>
      <c r="B101" s="13" t="s">
        <v>106</v>
      </c>
      <c r="C101" s="15">
        <v>2499</v>
      </c>
      <c r="D101" s="15">
        <v>3296393.42</v>
      </c>
      <c r="E101" s="15">
        <v>848277.79645297409</v>
      </c>
      <c r="F101" s="231">
        <f>Yhteenveto[[#This Row],[Ikärakenne, laskennallinen kustannus]]+Yhteenveto[[#This Row],[Muut laskennalliset kustannukset ]]</f>
        <v>4144671.2164529739</v>
      </c>
      <c r="G101" s="508">
        <v>1422.47</v>
      </c>
      <c r="H101" s="17">
        <v>3554752.5300000003</v>
      </c>
      <c r="I101" s="339">
        <f>Yhteenveto[[#This Row],[Laskennalliset kustannukset yhteensä]]-Yhteenveto[[#This Row],[Omarahoitusosuus, €]]</f>
        <v>589918.68645297363</v>
      </c>
      <c r="J101" s="33">
        <v>234794.10210720665</v>
      </c>
      <c r="K101" s="34">
        <v>315894.92405601416</v>
      </c>
      <c r="L101" s="231">
        <f>Yhteenveto[[#This Row],[Valtionosuus omarahoitusosuuden jälkeen (välisumma)]]+Yhteenveto[[#This Row],[Lisäosat yhteensä]]+Yhteenveto[[#This Row],[Valtionosuuteen tehtävät vähennykset ja lisäykset, netto]]</f>
        <v>1140607.7126161945</v>
      </c>
      <c r="M101" s="34">
        <v>1309003.3174872256</v>
      </c>
      <c r="N101" s="303">
        <f>SUM(Yhteenveto[[#This Row],[Valtionosuus ennen verotuloihin perustuvaa valtionosuuden tasausta]]+Yhteenveto[[#This Row],[Verotuloihin perustuva valtionosuuden tasaus]])</f>
        <v>2449611.0301034199</v>
      </c>
      <c r="O101" s="241">
        <v>360133.68655415392</v>
      </c>
      <c r="P101" s="372">
        <f>SUM(Yhteenveto[[#This Row],[Kunnan  peruspalvelujen valtionosuus ]:[Veroperustemuutoksista johtuvien veromenetysten korvaus]])</f>
        <v>2809744.7166575738</v>
      </c>
      <c r="Q101" s="34">
        <v>-701.16950000000361</v>
      </c>
      <c r="R101" s="341">
        <f>+Yhteenveto[[#This Row],[Kunnan  peruspalvelujen valtionosuus ]]+Yhteenveto[[#This Row],[Veroperustemuutoksista johtuvien veromenetysten korvaus]]+Yhteenveto[[#This Row],[Kotikuntakorvaus, netto (ei päivitetty)]]</f>
        <v>2809043.547157574</v>
      </c>
      <c r="S101" s="11"/>
      <c r="T101"/>
    </row>
    <row r="102" spans="1:20" ht="15">
      <c r="A102" s="32">
        <v>276</v>
      </c>
      <c r="B102" s="13" t="s">
        <v>107</v>
      </c>
      <c r="C102" s="15">
        <v>15136</v>
      </c>
      <c r="D102" s="15">
        <v>30077928.969999995</v>
      </c>
      <c r="E102" s="15">
        <v>3132104.7588546826</v>
      </c>
      <c r="F102" s="231">
        <f>Yhteenveto[[#This Row],[Ikärakenne, laskennallinen kustannus]]+Yhteenveto[[#This Row],[Muut laskennalliset kustannukset ]]</f>
        <v>33210033.728854679</v>
      </c>
      <c r="G102" s="508">
        <v>1422.47</v>
      </c>
      <c r="H102" s="17">
        <v>21530505.920000002</v>
      </c>
      <c r="I102" s="339">
        <f>Yhteenveto[[#This Row],[Laskennalliset kustannukset yhteensä]]-Yhteenveto[[#This Row],[Omarahoitusosuus, €]]</f>
        <v>11679527.808854677</v>
      </c>
      <c r="J102" s="33">
        <v>499642.93969087827</v>
      </c>
      <c r="K102" s="34">
        <v>271893.47954356845</v>
      </c>
      <c r="L102" s="231">
        <f>Yhteenveto[[#This Row],[Valtionosuus omarahoitusosuuden jälkeen (välisumma)]]+Yhteenveto[[#This Row],[Lisäosat yhteensä]]+Yhteenveto[[#This Row],[Valtionosuuteen tehtävät vähennykset ja lisäykset, netto]]</f>
        <v>12451064.228089124</v>
      </c>
      <c r="M102" s="34">
        <v>5059868.3431433951</v>
      </c>
      <c r="N102" s="303">
        <f>SUM(Yhteenveto[[#This Row],[Valtionosuus ennen verotuloihin perustuvaa valtionosuuden tasausta]]+Yhteenveto[[#This Row],[Verotuloihin perustuva valtionosuuden tasaus]])</f>
        <v>17510932.57123252</v>
      </c>
      <c r="O102" s="241">
        <v>923357.20168559765</v>
      </c>
      <c r="P102" s="372">
        <f>SUM(Yhteenveto[[#This Row],[Kunnan  peruspalvelujen valtionosuus ]:[Veroperustemuutoksista johtuvien veromenetysten korvaus]])</f>
        <v>18434289.772918116</v>
      </c>
      <c r="Q102" s="34">
        <v>-237885.9254500001</v>
      </c>
      <c r="R102" s="341">
        <f>+Yhteenveto[[#This Row],[Kunnan  peruspalvelujen valtionosuus ]]+Yhteenveto[[#This Row],[Veroperustemuutoksista johtuvien veromenetysten korvaus]]+Yhteenveto[[#This Row],[Kotikuntakorvaus, netto (ei päivitetty)]]</f>
        <v>18196403.847468115</v>
      </c>
      <c r="S102" s="11"/>
      <c r="T102"/>
    </row>
    <row r="103" spans="1:20" ht="15">
      <c r="A103" s="32">
        <v>280</v>
      </c>
      <c r="B103" s="13" t="s">
        <v>108</v>
      </c>
      <c r="C103" s="15">
        <v>2015</v>
      </c>
      <c r="D103" s="15">
        <v>2917069.1799999997</v>
      </c>
      <c r="E103" s="15">
        <v>1349346.149632284</v>
      </c>
      <c r="F103" s="231">
        <f>Yhteenveto[[#This Row],[Ikärakenne, laskennallinen kustannus]]+Yhteenveto[[#This Row],[Muut laskennalliset kustannukset ]]</f>
        <v>4266415.3296322841</v>
      </c>
      <c r="G103" s="508">
        <v>1422.47</v>
      </c>
      <c r="H103" s="17">
        <v>2866277.0500000003</v>
      </c>
      <c r="I103" s="339">
        <f>Yhteenveto[[#This Row],[Laskennalliset kustannukset yhteensä]]-Yhteenveto[[#This Row],[Omarahoitusosuus, €]]</f>
        <v>1400138.2796322838</v>
      </c>
      <c r="J103" s="33">
        <v>301849.96862053702</v>
      </c>
      <c r="K103" s="34">
        <v>266906.6621287142</v>
      </c>
      <c r="L103" s="231">
        <f>Yhteenveto[[#This Row],[Valtionosuus omarahoitusosuuden jälkeen (välisumma)]]+Yhteenveto[[#This Row],[Lisäosat yhteensä]]+Yhteenveto[[#This Row],[Valtionosuuteen tehtävät vähennykset ja lisäykset, netto]]</f>
        <v>1968894.9103815351</v>
      </c>
      <c r="M103" s="34">
        <v>837378.05875480711</v>
      </c>
      <c r="N103" s="303">
        <f>SUM(Yhteenveto[[#This Row],[Valtionosuus ennen verotuloihin perustuvaa valtionosuuden tasausta]]+Yhteenveto[[#This Row],[Verotuloihin perustuva valtionosuuden tasaus]])</f>
        <v>2806272.9691363424</v>
      </c>
      <c r="O103" s="241">
        <v>344645.96727414476</v>
      </c>
      <c r="P103" s="372">
        <f>SUM(Yhteenveto[[#This Row],[Kunnan  peruspalvelujen valtionosuus ]:[Veroperustemuutoksista johtuvien veromenetysten korvaus]])</f>
        <v>3150918.9364104872</v>
      </c>
      <c r="Q103" s="34">
        <v>-819025.65</v>
      </c>
      <c r="R103" s="341">
        <f>+Yhteenveto[[#This Row],[Kunnan  peruspalvelujen valtionosuus ]]+Yhteenveto[[#This Row],[Veroperustemuutoksista johtuvien veromenetysten korvaus]]+Yhteenveto[[#This Row],[Kotikuntakorvaus, netto (ei päivitetty)]]</f>
        <v>2331893.2864104873</v>
      </c>
      <c r="S103" s="11"/>
      <c r="T103"/>
    </row>
    <row r="104" spans="1:20" ht="15">
      <c r="A104" s="32">
        <v>284</v>
      </c>
      <c r="B104" s="13" t="s">
        <v>109</v>
      </c>
      <c r="C104" s="15">
        <v>2207</v>
      </c>
      <c r="D104" s="15">
        <v>2867902.89</v>
      </c>
      <c r="E104" s="15">
        <v>592696.20538244094</v>
      </c>
      <c r="F104" s="231">
        <f>Yhteenveto[[#This Row],[Ikärakenne, laskennallinen kustannus]]+Yhteenveto[[#This Row],[Muut laskennalliset kustannukset ]]</f>
        <v>3460599.0953824408</v>
      </c>
      <c r="G104" s="508">
        <v>1422.47</v>
      </c>
      <c r="H104" s="17">
        <v>3139391.29</v>
      </c>
      <c r="I104" s="339">
        <f>Yhteenveto[[#This Row],[Laskennalliset kustannukset yhteensä]]-Yhteenveto[[#This Row],[Omarahoitusosuus, €]]</f>
        <v>321207.8053824408</v>
      </c>
      <c r="J104" s="33">
        <v>71560.328048551193</v>
      </c>
      <c r="K104" s="34">
        <v>761962.69689396129</v>
      </c>
      <c r="L104" s="231">
        <f>Yhteenveto[[#This Row],[Valtionosuus omarahoitusosuuden jälkeen (välisumma)]]+Yhteenveto[[#This Row],[Lisäosat yhteensä]]+Yhteenveto[[#This Row],[Valtionosuuteen tehtävät vähennykset ja lisäykset, netto]]</f>
        <v>1154730.8303249534</v>
      </c>
      <c r="M104" s="34">
        <v>568999.9335396071</v>
      </c>
      <c r="N104" s="303">
        <f>SUM(Yhteenveto[[#This Row],[Valtionosuus ennen verotuloihin perustuvaa valtionosuuden tasausta]]+Yhteenveto[[#This Row],[Verotuloihin perustuva valtionosuuden tasaus]])</f>
        <v>1723730.7638645605</v>
      </c>
      <c r="O104" s="241">
        <v>395490.08672781003</v>
      </c>
      <c r="P104" s="372">
        <f>SUM(Yhteenveto[[#This Row],[Kunnan  peruspalvelujen valtionosuus ]:[Veroperustemuutoksista johtuvien veromenetysten korvaus]])</f>
        <v>2119220.8505923706</v>
      </c>
      <c r="Q104" s="34">
        <v>1150216.3500000003</v>
      </c>
      <c r="R104" s="341">
        <f>+Yhteenveto[[#This Row],[Kunnan  peruspalvelujen valtionosuus ]]+Yhteenveto[[#This Row],[Veroperustemuutoksista johtuvien veromenetysten korvaus]]+Yhteenveto[[#This Row],[Kotikuntakorvaus, netto (ei päivitetty)]]</f>
        <v>3269437.2005923707</v>
      </c>
      <c r="S104" s="11"/>
      <c r="T104"/>
    </row>
    <row r="105" spans="1:20" ht="15">
      <c r="A105" s="32">
        <v>285</v>
      </c>
      <c r="B105" s="13" t="s">
        <v>110</v>
      </c>
      <c r="C105" s="15">
        <v>50500</v>
      </c>
      <c r="D105" s="15">
        <v>64021962.620000005</v>
      </c>
      <c r="E105" s="15">
        <v>19544857.566792496</v>
      </c>
      <c r="F105" s="231">
        <f>Yhteenveto[[#This Row],[Ikärakenne, laskennallinen kustannus]]+Yhteenveto[[#This Row],[Muut laskennalliset kustannukset ]]</f>
        <v>83566820.186792493</v>
      </c>
      <c r="G105" s="508">
        <v>1422.47</v>
      </c>
      <c r="H105" s="17">
        <v>71834735</v>
      </c>
      <c r="I105" s="339">
        <f>Yhteenveto[[#This Row],[Laskennalliset kustannukset yhteensä]]-Yhteenveto[[#This Row],[Omarahoitusosuus, €]]</f>
        <v>11732085.186792493</v>
      </c>
      <c r="J105" s="33">
        <v>1764473.4099697452</v>
      </c>
      <c r="K105" s="34">
        <v>-14888369.383861296</v>
      </c>
      <c r="L105" s="231">
        <f>Yhteenveto[[#This Row],[Valtionosuus omarahoitusosuuden jälkeen (välisumma)]]+Yhteenveto[[#This Row],[Lisäosat yhteensä]]+Yhteenveto[[#This Row],[Valtionosuuteen tehtävät vähennykset ja lisäykset, netto]]</f>
        <v>-1391810.7870990578</v>
      </c>
      <c r="M105" s="34">
        <v>7531190.2058117148</v>
      </c>
      <c r="N105" s="303">
        <f>SUM(Yhteenveto[[#This Row],[Valtionosuus ennen verotuloihin perustuvaa valtionosuuden tasausta]]+Yhteenveto[[#This Row],[Verotuloihin perustuva valtionosuuden tasaus]])</f>
        <v>6139379.4187126569</v>
      </c>
      <c r="O105" s="241">
        <v>4393904.9719721852</v>
      </c>
      <c r="P105" s="372">
        <f>SUM(Yhteenveto[[#This Row],[Kunnan  peruspalvelujen valtionosuus ]:[Veroperustemuutoksista johtuvien veromenetysten korvaus]])</f>
        <v>10533284.390684843</v>
      </c>
      <c r="Q105" s="34">
        <v>-743135.24050000019</v>
      </c>
      <c r="R105" s="341">
        <f>+Yhteenveto[[#This Row],[Kunnan  peruspalvelujen valtionosuus ]]+Yhteenveto[[#This Row],[Veroperustemuutoksista johtuvien veromenetysten korvaus]]+Yhteenveto[[#This Row],[Kotikuntakorvaus, netto (ei päivitetty)]]</f>
        <v>9790149.1501848437</v>
      </c>
      <c r="S105" s="11"/>
      <c r="T105"/>
    </row>
    <row r="106" spans="1:20" ht="15">
      <c r="A106" s="32">
        <v>286</v>
      </c>
      <c r="B106" s="13" t="s">
        <v>111</v>
      </c>
      <c r="C106" s="15">
        <v>78880</v>
      </c>
      <c r="D106" s="15">
        <v>100202666.57999998</v>
      </c>
      <c r="E106" s="15">
        <v>21509769.170591403</v>
      </c>
      <c r="F106" s="231">
        <f>Yhteenveto[[#This Row],[Ikärakenne, laskennallinen kustannus]]+Yhteenveto[[#This Row],[Muut laskennalliset kustannukset ]]</f>
        <v>121712435.75059138</v>
      </c>
      <c r="G106" s="508">
        <v>1422.47</v>
      </c>
      <c r="H106" s="17">
        <v>112204433.60000001</v>
      </c>
      <c r="I106" s="339">
        <f>Yhteenveto[[#This Row],[Laskennalliset kustannukset yhteensä]]-Yhteenveto[[#This Row],[Omarahoitusosuus, €]]</f>
        <v>9508002.1505913734</v>
      </c>
      <c r="J106" s="33">
        <v>2699917.6148851337</v>
      </c>
      <c r="K106" s="34">
        <v>-26036594.369073864</v>
      </c>
      <c r="L106" s="231">
        <f>Yhteenveto[[#This Row],[Valtionosuus omarahoitusosuuden jälkeen (välisumma)]]+Yhteenveto[[#This Row],[Lisäosat yhteensä]]+Yhteenveto[[#This Row],[Valtionosuuteen tehtävät vähennykset ja lisäykset, netto]]</f>
        <v>-13828674.603597358</v>
      </c>
      <c r="M106" s="34">
        <v>15186380.615190294</v>
      </c>
      <c r="N106" s="303">
        <f>SUM(Yhteenveto[[#This Row],[Valtionosuus ennen verotuloihin perustuvaa valtionosuuden tasausta]]+Yhteenveto[[#This Row],[Verotuloihin perustuva valtionosuuden tasaus]])</f>
        <v>1357706.0115929358</v>
      </c>
      <c r="O106" s="241">
        <v>7734924.4763338612</v>
      </c>
      <c r="P106" s="372">
        <f>SUM(Yhteenveto[[#This Row],[Kunnan  peruspalvelujen valtionosuus ]:[Veroperustemuutoksista johtuvien veromenetysten korvaus]])</f>
        <v>9092630.4879267961</v>
      </c>
      <c r="Q106" s="34">
        <v>-143411.54050000012</v>
      </c>
      <c r="R106" s="341">
        <f>+Yhteenveto[[#This Row],[Kunnan  peruspalvelujen valtionosuus ]]+Yhteenveto[[#This Row],[Veroperustemuutoksista johtuvien veromenetysten korvaus]]+Yhteenveto[[#This Row],[Kotikuntakorvaus, netto (ei päivitetty)]]</f>
        <v>8949218.947426796</v>
      </c>
      <c r="S106" s="11"/>
      <c r="T106"/>
    </row>
    <row r="107" spans="1:20" ht="15">
      <c r="A107" s="32">
        <v>287</v>
      </c>
      <c r="B107" s="13" t="s">
        <v>112</v>
      </c>
      <c r="C107" s="15">
        <v>6199</v>
      </c>
      <c r="D107" s="15">
        <v>7775661.330000001</v>
      </c>
      <c r="E107" s="15">
        <v>2983448.361361606</v>
      </c>
      <c r="F107" s="231">
        <f>Yhteenveto[[#This Row],[Ikärakenne, laskennallinen kustannus]]+Yhteenveto[[#This Row],[Muut laskennalliset kustannukset ]]</f>
        <v>10759109.691361606</v>
      </c>
      <c r="G107" s="508">
        <v>1422.47</v>
      </c>
      <c r="H107" s="17">
        <v>8817891.5299999993</v>
      </c>
      <c r="I107" s="339">
        <f>Yhteenveto[[#This Row],[Laskennalliset kustannukset yhteensä]]-Yhteenveto[[#This Row],[Omarahoitusosuus, €]]</f>
        <v>1941218.1613616068</v>
      </c>
      <c r="J107" s="33">
        <v>572854.61065331404</v>
      </c>
      <c r="K107" s="34">
        <v>1509864.5807919651</v>
      </c>
      <c r="L107" s="231">
        <f>Yhteenveto[[#This Row],[Valtionosuus omarahoitusosuuden jälkeen (välisumma)]]+Yhteenveto[[#This Row],[Lisäosat yhteensä]]+Yhteenveto[[#This Row],[Valtionosuuteen tehtävät vähennykset ja lisäykset, netto]]</f>
        <v>4023937.3528068857</v>
      </c>
      <c r="M107" s="34">
        <v>2311920.032443116</v>
      </c>
      <c r="N107" s="303">
        <f>SUM(Yhteenveto[[#This Row],[Valtionosuus ennen verotuloihin perustuvaa valtionosuuden tasausta]]+Yhteenveto[[#This Row],[Verotuloihin perustuva valtionosuuden tasaus]])</f>
        <v>6335857.3852500021</v>
      </c>
      <c r="O107" s="241">
        <v>1031299.0209272153</v>
      </c>
      <c r="P107" s="372">
        <f>SUM(Yhteenveto[[#This Row],[Kunnan  peruspalvelujen valtionosuus ]:[Veroperustemuutoksista johtuvien veromenetysten korvaus]])</f>
        <v>7367156.4061772171</v>
      </c>
      <c r="Q107" s="34">
        <v>613374.12749999994</v>
      </c>
      <c r="R107" s="341">
        <f>+Yhteenveto[[#This Row],[Kunnan  peruspalvelujen valtionosuus ]]+Yhteenveto[[#This Row],[Veroperustemuutoksista johtuvien veromenetysten korvaus]]+Yhteenveto[[#This Row],[Kotikuntakorvaus, netto (ei päivitetty)]]</f>
        <v>7980530.5336772166</v>
      </c>
      <c r="S107" s="11"/>
      <c r="T107"/>
    </row>
    <row r="108" spans="1:20" ht="15">
      <c r="A108" s="32">
        <v>288</v>
      </c>
      <c r="B108" s="13" t="s">
        <v>113</v>
      </c>
      <c r="C108" s="15">
        <v>6368</v>
      </c>
      <c r="D108" s="15">
        <v>10759651.289999999</v>
      </c>
      <c r="E108" s="15">
        <v>3079103.1992025725</v>
      </c>
      <c r="F108" s="231">
        <f>Yhteenveto[[#This Row],[Ikärakenne, laskennallinen kustannus]]+Yhteenveto[[#This Row],[Muut laskennalliset kustannukset ]]</f>
        <v>13838754.489202572</v>
      </c>
      <c r="G108" s="508">
        <v>1422.47</v>
      </c>
      <c r="H108" s="17">
        <v>9058288.9600000009</v>
      </c>
      <c r="I108" s="339">
        <f>Yhteenveto[[#This Row],[Laskennalliset kustannukset yhteensä]]-Yhteenveto[[#This Row],[Omarahoitusosuus, €]]</f>
        <v>4780465.5292025711</v>
      </c>
      <c r="J108" s="33">
        <v>187659.12365537669</v>
      </c>
      <c r="K108" s="34">
        <v>-500377.22965771379</v>
      </c>
      <c r="L108" s="231">
        <f>Yhteenveto[[#This Row],[Valtionosuus omarahoitusosuuden jälkeen (välisumma)]]+Yhteenveto[[#This Row],[Lisäosat yhteensä]]+Yhteenveto[[#This Row],[Valtionosuuteen tehtävät vähennykset ja lisäykset, netto]]</f>
        <v>4467747.4232002348</v>
      </c>
      <c r="M108" s="34">
        <v>2125435.8139791233</v>
      </c>
      <c r="N108" s="303">
        <f>SUM(Yhteenveto[[#This Row],[Valtionosuus ennen verotuloihin perustuvaa valtionosuuden tasausta]]+Yhteenveto[[#This Row],[Verotuloihin perustuva valtionosuuden tasaus]])</f>
        <v>6593183.2371793576</v>
      </c>
      <c r="O108" s="241">
        <v>856326.18838278833</v>
      </c>
      <c r="P108" s="372">
        <f>SUM(Yhteenveto[[#This Row],[Kunnan  peruspalvelujen valtionosuus ]:[Veroperustemuutoksista johtuvien veromenetysten korvaus]])</f>
        <v>7449509.4255621461</v>
      </c>
      <c r="Q108" s="34">
        <v>-587669.55200000003</v>
      </c>
      <c r="R108" s="341">
        <f>+Yhteenveto[[#This Row],[Kunnan  peruspalvelujen valtionosuus ]]+Yhteenveto[[#This Row],[Veroperustemuutoksista johtuvien veromenetysten korvaus]]+Yhteenveto[[#This Row],[Kotikuntakorvaus, netto (ei päivitetty)]]</f>
        <v>6861839.873562146</v>
      </c>
      <c r="S108" s="11"/>
      <c r="T108"/>
    </row>
    <row r="109" spans="1:20" ht="15">
      <c r="A109" s="32">
        <v>290</v>
      </c>
      <c r="B109" s="13" t="s">
        <v>114</v>
      </c>
      <c r="C109" s="15">
        <v>7582</v>
      </c>
      <c r="D109" s="15">
        <v>8069602.3199999994</v>
      </c>
      <c r="E109" s="15">
        <v>5137056.6043632925</v>
      </c>
      <c r="F109" s="231">
        <f>Yhteenveto[[#This Row],[Ikärakenne, laskennallinen kustannus]]+Yhteenveto[[#This Row],[Muut laskennalliset kustannukset ]]</f>
        <v>13206658.924363293</v>
      </c>
      <c r="G109" s="508">
        <v>1422.47</v>
      </c>
      <c r="H109" s="17">
        <v>10785167.540000001</v>
      </c>
      <c r="I109" s="339">
        <f>Yhteenveto[[#This Row],[Laskennalliset kustannukset yhteensä]]-Yhteenveto[[#This Row],[Omarahoitusosuus, €]]</f>
        <v>2421491.3843632918</v>
      </c>
      <c r="J109" s="33">
        <v>1323944.7597016038</v>
      </c>
      <c r="K109" s="34">
        <v>1139296.0875663981</v>
      </c>
      <c r="L109" s="231">
        <f>Yhteenveto[[#This Row],[Valtionosuus omarahoitusosuuden jälkeen (välisumma)]]+Yhteenveto[[#This Row],[Lisäosat yhteensä]]+Yhteenveto[[#This Row],[Valtionosuuteen tehtävät vähennykset ja lisäykset, netto]]</f>
        <v>4884732.2316312939</v>
      </c>
      <c r="M109" s="34">
        <v>2901207.986439378</v>
      </c>
      <c r="N109" s="303">
        <f>SUM(Yhteenveto[[#This Row],[Valtionosuus ennen verotuloihin perustuvaa valtionosuuden tasausta]]+Yhteenveto[[#This Row],[Verotuloihin perustuva valtionosuuden tasaus]])</f>
        <v>7785940.2180706719</v>
      </c>
      <c r="O109" s="241">
        <v>1205998.9433266926</v>
      </c>
      <c r="P109" s="372">
        <f>SUM(Yhteenveto[[#This Row],[Kunnan  peruspalvelujen valtionosuus ]:[Veroperustemuutoksista johtuvien veromenetysten korvaus]])</f>
        <v>8991939.161397364</v>
      </c>
      <c r="Q109" s="34">
        <v>-70042.357500000013</v>
      </c>
      <c r="R109" s="341">
        <f>+Yhteenveto[[#This Row],[Kunnan  peruspalvelujen valtionosuus ]]+Yhteenveto[[#This Row],[Veroperustemuutoksista johtuvien veromenetysten korvaus]]+Yhteenveto[[#This Row],[Kotikuntakorvaus, netto (ei päivitetty)]]</f>
        <v>8921896.8038973641</v>
      </c>
      <c r="S109" s="11"/>
      <c r="T109"/>
    </row>
    <row r="110" spans="1:20" ht="15">
      <c r="A110" s="32">
        <v>291</v>
      </c>
      <c r="B110" s="36" t="s">
        <v>115</v>
      </c>
      <c r="C110" s="15">
        <v>2092</v>
      </c>
      <c r="D110" s="15">
        <v>1860020.55</v>
      </c>
      <c r="E110" s="15">
        <v>926390.42789653246</v>
      </c>
      <c r="F110" s="231">
        <f>Yhteenveto[[#This Row],[Ikärakenne, laskennallinen kustannus]]+Yhteenveto[[#This Row],[Muut laskennalliset kustannukset ]]</f>
        <v>2786410.9778965325</v>
      </c>
      <c r="G110" s="508">
        <v>1422.47</v>
      </c>
      <c r="H110" s="17">
        <v>2975807.24</v>
      </c>
      <c r="I110" s="339">
        <f>Yhteenveto[[#This Row],[Laskennalliset kustannukset yhteensä]]-Yhteenveto[[#This Row],[Omarahoitusosuus, €]]</f>
        <v>-189396.26210346771</v>
      </c>
      <c r="J110" s="33">
        <v>334339.16381352337</v>
      </c>
      <c r="K110" s="34">
        <v>1873536.1091648275</v>
      </c>
      <c r="L110" s="231">
        <f>Yhteenveto[[#This Row],[Valtionosuus omarahoitusosuuden jälkeen (välisumma)]]+Yhteenveto[[#This Row],[Lisäosat yhteensä]]+Yhteenveto[[#This Row],[Valtionosuuteen tehtävät vähennykset ja lisäykset, netto]]</f>
        <v>2018479.0108748833</v>
      </c>
      <c r="M110" s="34">
        <v>354085.94567395456</v>
      </c>
      <c r="N110" s="303">
        <f>SUM(Yhteenveto[[#This Row],[Valtionosuus ennen verotuloihin perustuvaa valtionosuuden tasausta]]+Yhteenveto[[#This Row],[Verotuloihin perustuva valtionosuuden tasaus]])</f>
        <v>2372564.9565488379</v>
      </c>
      <c r="O110" s="241">
        <v>329745.45073386724</v>
      </c>
      <c r="P110" s="372">
        <f>SUM(Yhteenveto[[#This Row],[Kunnan  peruspalvelujen valtionosuus ]:[Veroperustemuutoksista johtuvien veromenetysten korvaus]])</f>
        <v>2702310.4072827054</v>
      </c>
      <c r="Q110" s="34">
        <v>-7459.2500000000018</v>
      </c>
      <c r="R110" s="341">
        <f>+Yhteenveto[[#This Row],[Kunnan  peruspalvelujen valtionosuus ]]+Yhteenveto[[#This Row],[Veroperustemuutoksista johtuvien veromenetysten korvaus]]+Yhteenveto[[#This Row],[Kotikuntakorvaus, netto (ei päivitetty)]]</f>
        <v>2694851.1572827054</v>
      </c>
      <c r="S110" s="11"/>
      <c r="T110"/>
    </row>
    <row r="111" spans="1:20" ht="15">
      <c r="A111" s="32">
        <v>297</v>
      </c>
      <c r="B111" s="13" t="s">
        <v>116</v>
      </c>
      <c r="C111" s="15">
        <v>124021</v>
      </c>
      <c r="D111" s="15">
        <v>173331595.97999999</v>
      </c>
      <c r="E111" s="15">
        <v>33080929.950578727</v>
      </c>
      <c r="F111" s="231">
        <f>Yhteenveto[[#This Row],[Ikärakenne, laskennallinen kustannus]]+Yhteenveto[[#This Row],[Muut laskennalliset kustannukset ]]</f>
        <v>206412525.93057871</v>
      </c>
      <c r="G111" s="508">
        <v>1422.47</v>
      </c>
      <c r="H111" s="17">
        <v>176416151.87</v>
      </c>
      <c r="I111" s="339">
        <f>Yhteenveto[[#This Row],[Laskennalliset kustannukset yhteensä]]-Yhteenveto[[#This Row],[Omarahoitusosuus, €]]</f>
        <v>29996374.060578704</v>
      </c>
      <c r="J111" s="33">
        <v>5768649.3432098487</v>
      </c>
      <c r="K111" s="34">
        <v>-32192854.691892661</v>
      </c>
      <c r="L111" s="231">
        <f>Yhteenveto[[#This Row],[Valtionosuus omarahoitusosuuden jälkeen (välisumma)]]+Yhteenveto[[#This Row],[Lisäosat yhteensä]]+Yhteenveto[[#This Row],[Valtionosuuteen tehtävät vähennykset ja lisäykset, netto]]</f>
        <v>3572168.7118958905</v>
      </c>
      <c r="M111" s="34">
        <v>24454952.631606366</v>
      </c>
      <c r="N111" s="303">
        <f>SUM(Yhteenveto[[#This Row],[Valtionosuus ennen verotuloihin perustuvaa valtionosuuden tasausta]]+Yhteenveto[[#This Row],[Verotuloihin perustuva valtionosuuden tasaus]])</f>
        <v>28027121.343502257</v>
      </c>
      <c r="O111" s="241">
        <v>11605837.235289603</v>
      </c>
      <c r="P111" s="372">
        <f>SUM(Yhteenveto[[#This Row],[Kunnan  peruspalvelujen valtionosuus ]:[Veroperustemuutoksista johtuvien veromenetysten korvaus]])</f>
        <v>39632958.578791857</v>
      </c>
      <c r="Q111" s="34">
        <v>-3011236.5672999965</v>
      </c>
      <c r="R111" s="341">
        <f>+Yhteenveto[[#This Row],[Kunnan  peruspalvelujen valtionosuus ]]+Yhteenveto[[#This Row],[Veroperustemuutoksista johtuvien veromenetysten korvaus]]+Yhteenveto[[#This Row],[Kotikuntakorvaus, netto (ei päivitetty)]]</f>
        <v>36621722.011491857</v>
      </c>
      <c r="S111" s="11"/>
      <c r="T111"/>
    </row>
    <row r="112" spans="1:20" ht="15">
      <c r="A112" s="32">
        <v>300</v>
      </c>
      <c r="B112" s="13" t="s">
        <v>117</v>
      </c>
      <c r="C112" s="15">
        <v>3381</v>
      </c>
      <c r="D112" s="15">
        <v>4474217.4000000004</v>
      </c>
      <c r="E112" s="15">
        <v>751409.72683901829</v>
      </c>
      <c r="F112" s="231">
        <f>Yhteenveto[[#This Row],[Ikärakenne, laskennallinen kustannus]]+Yhteenveto[[#This Row],[Muut laskennalliset kustannukset ]]</f>
        <v>5225627.1268390184</v>
      </c>
      <c r="G112" s="508">
        <v>1422.47</v>
      </c>
      <c r="H112" s="17">
        <v>4809371.07</v>
      </c>
      <c r="I112" s="339">
        <f>Yhteenveto[[#This Row],[Laskennalliset kustannukset yhteensä]]-Yhteenveto[[#This Row],[Omarahoitusosuus, €]]</f>
        <v>416256.05683901813</v>
      </c>
      <c r="J112" s="33">
        <v>192029.25738350319</v>
      </c>
      <c r="K112" s="34">
        <v>1812163.5288293196</v>
      </c>
      <c r="L112" s="231">
        <f>Yhteenveto[[#This Row],[Valtionosuus omarahoitusosuuden jälkeen (välisumma)]]+Yhteenveto[[#This Row],[Lisäosat yhteensä]]+Yhteenveto[[#This Row],[Valtionosuuteen tehtävät vähennykset ja lisäykset, netto]]</f>
        <v>2420448.843051841</v>
      </c>
      <c r="M112" s="34">
        <v>1856207.9728745213</v>
      </c>
      <c r="N112" s="303">
        <f>SUM(Yhteenveto[[#This Row],[Valtionosuus ennen verotuloihin perustuvaa valtionosuuden tasausta]]+Yhteenveto[[#This Row],[Verotuloihin perustuva valtionosuuden tasaus]])</f>
        <v>4276656.8159263618</v>
      </c>
      <c r="O112" s="241">
        <v>561203.70207826351</v>
      </c>
      <c r="P112" s="372">
        <f>SUM(Yhteenveto[[#This Row],[Kunnan  peruspalvelujen valtionosuus ]:[Veroperustemuutoksista johtuvien veromenetysten korvaus]])</f>
        <v>4837860.5180046251</v>
      </c>
      <c r="Q112" s="34">
        <v>389372.84999999992</v>
      </c>
      <c r="R112" s="341">
        <f>+Yhteenveto[[#This Row],[Kunnan  peruspalvelujen valtionosuus ]]+Yhteenveto[[#This Row],[Veroperustemuutoksista johtuvien veromenetysten korvaus]]+Yhteenveto[[#This Row],[Kotikuntakorvaus, netto (ei päivitetty)]]</f>
        <v>5227233.3680046247</v>
      </c>
      <c r="S112" s="11"/>
      <c r="T112"/>
    </row>
    <row r="113" spans="1:20" ht="15">
      <c r="A113" s="32">
        <v>301</v>
      </c>
      <c r="B113" s="13" t="s">
        <v>118</v>
      </c>
      <c r="C113" s="15">
        <v>19759</v>
      </c>
      <c r="D113" s="15">
        <v>28694616.740000002</v>
      </c>
      <c r="E113" s="15">
        <v>4460457.2512014788</v>
      </c>
      <c r="F113" s="231">
        <f>Yhteenveto[[#This Row],[Ikärakenne, laskennallinen kustannus]]+Yhteenveto[[#This Row],[Muut laskennalliset kustannukset ]]</f>
        <v>33155073.991201483</v>
      </c>
      <c r="G113" s="508">
        <v>1422.47</v>
      </c>
      <c r="H113" s="17">
        <v>28106584.73</v>
      </c>
      <c r="I113" s="339">
        <f>Yhteenveto[[#This Row],[Laskennalliset kustannukset yhteensä]]-Yhteenveto[[#This Row],[Omarahoitusosuus, €]]</f>
        <v>5048489.2612014823</v>
      </c>
      <c r="J113" s="33">
        <v>655936.68328599597</v>
      </c>
      <c r="K113" s="34">
        <v>-4475068.2917160708</v>
      </c>
      <c r="L113" s="231">
        <f>Yhteenveto[[#This Row],[Valtionosuus omarahoitusosuuden jälkeen (välisumma)]]+Yhteenveto[[#This Row],[Lisäosat yhteensä]]+Yhteenveto[[#This Row],[Valtionosuuteen tehtävät vähennykset ja lisäykset, netto]]</f>
        <v>1229357.6527714077</v>
      </c>
      <c r="M113" s="34">
        <v>10969120.776131429</v>
      </c>
      <c r="N113" s="303">
        <f>SUM(Yhteenveto[[#This Row],[Valtionosuus ennen verotuloihin perustuvaa valtionosuuden tasausta]]+Yhteenveto[[#This Row],[Verotuloihin perustuva valtionosuuden tasaus]])</f>
        <v>12198478.428902837</v>
      </c>
      <c r="O113" s="241">
        <v>3182004.3152001603</v>
      </c>
      <c r="P113" s="372">
        <f>SUM(Yhteenveto[[#This Row],[Kunnan  peruspalvelujen valtionosuus ]:[Veroperustemuutoksista johtuvien veromenetysten korvaus]])</f>
        <v>15380482.744102996</v>
      </c>
      <c r="Q113" s="34">
        <v>400054.49599999998</v>
      </c>
      <c r="R113" s="341">
        <f>+Yhteenveto[[#This Row],[Kunnan  peruspalvelujen valtionosuus ]]+Yhteenveto[[#This Row],[Veroperustemuutoksista johtuvien veromenetysten korvaus]]+Yhteenveto[[#This Row],[Kotikuntakorvaus, netto (ei päivitetty)]]</f>
        <v>15780537.240102995</v>
      </c>
      <c r="S113" s="11"/>
      <c r="T113"/>
    </row>
    <row r="114" spans="1:20" ht="15">
      <c r="A114" s="32">
        <v>304</v>
      </c>
      <c r="B114" s="13" t="s">
        <v>119</v>
      </c>
      <c r="C114" s="15">
        <v>949</v>
      </c>
      <c r="D114" s="15">
        <v>784252.19</v>
      </c>
      <c r="E114" s="15">
        <v>709067.05276087241</v>
      </c>
      <c r="F114" s="231">
        <f>Yhteenveto[[#This Row],[Ikärakenne, laskennallinen kustannus]]+Yhteenveto[[#This Row],[Muut laskennalliset kustannukset ]]</f>
        <v>1493319.2427608725</v>
      </c>
      <c r="G114" s="508">
        <v>1422.47</v>
      </c>
      <c r="H114" s="17">
        <v>1349924.03</v>
      </c>
      <c r="I114" s="339">
        <f>Yhteenveto[[#This Row],[Laskennalliset kustannukset yhteensä]]-Yhteenveto[[#This Row],[Omarahoitusosuus, €]]</f>
        <v>143395.21276087244</v>
      </c>
      <c r="J114" s="33">
        <v>145083.29014146887</v>
      </c>
      <c r="K114" s="34">
        <v>-316539.73865387874</v>
      </c>
      <c r="L114" s="231">
        <f>Yhteenveto[[#This Row],[Valtionosuus omarahoitusosuuden jälkeen (välisumma)]]+Yhteenveto[[#This Row],[Lisäosat yhteensä]]+Yhteenveto[[#This Row],[Valtionosuuteen tehtävät vähennykset ja lisäykset, netto]]</f>
        <v>-28061.235751537431</v>
      </c>
      <c r="M114" s="34">
        <v>-63936.421350311306</v>
      </c>
      <c r="N114" s="303">
        <f>SUM(Yhteenveto[[#This Row],[Valtionosuus ennen verotuloihin perustuvaa valtionosuuden tasausta]]+Yhteenveto[[#This Row],[Verotuloihin perustuva valtionosuuden tasaus]])</f>
        <v>-91997.657101848745</v>
      </c>
      <c r="O114" s="241">
        <v>147205.12413440747</v>
      </c>
      <c r="P114" s="372">
        <f>SUM(Yhteenveto[[#This Row],[Kunnan  peruspalvelujen valtionosuus ]:[Veroperustemuutoksista johtuvien veromenetysten korvaus]])</f>
        <v>55207.467032558721</v>
      </c>
      <c r="Q114" s="34">
        <v>-241679.7</v>
      </c>
      <c r="R114" s="341">
        <f>+Yhteenveto[[#This Row],[Kunnan  peruspalvelujen valtionosuus ]]+Yhteenveto[[#This Row],[Veroperustemuutoksista johtuvien veromenetysten korvaus]]+Yhteenveto[[#This Row],[Kotikuntakorvaus, netto (ei päivitetty)]]</f>
        <v>-186472.23296744129</v>
      </c>
      <c r="S114" s="11"/>
      <c r="T114"/>
    </row>
    <row r="115" spans="1:20" ht="15">
      <c r="A115" s="32">
        <v>305</v>
      </c>
      <c r="B115" s="13" t="s">
        <v>120</v>
      </c>
      <c r="C115" s="15">
        <v>15019</v>
      </c>
      <c r="D115" s="15">
        <v>21577614.440000001</v>
      </c>
      <c r="E115" s="15">
        <v>7064131.2385621751</v>
      </c>
      <c r="F115" s="231">
        <f>Yhteenveto[[#This Row],[Ikärakenne, laskennallinen kustannus]]+Yhteenveto[[#This Row],[Muut laskennalliset kustannukset ]]</f>
        <v>28641745.678562175</v>
      </c>
      <c r="G115" s="508">
        <v>1422.47</v>
      </c>
      <c r="H115" s="17">
        <v>21364076.93</v>
      </c>
      <c r="I115" s="339">
        <f>Yhteenveto[[#This Row],[Laskennalliset kustannukset yhteensä]]-Yhteenveto[[#This Row],[Omarahoitusosuus, €]]</f>
        <v>7277668.7485621758</v>
      </c>
      <c r="J115" s="33">
        <v>1354085.8162563285</v>
      </c>
      <c r="K115" s="34">
        <v>1350362.0704819886</v>
      </c>
      <c r="L115" s="231">
        <f>Yhteenveto[[#This Row],[Valtionosuus omarahoitusosuuden jälkeen (välisumma)]]+Yhteenveto[[#This Row],[Lisäosat yhteensä]]+Yhteenveto[[#This Row],[Valtionosuuteen tehtävät vähennykset ja lisäykset, netto]]</f>
        <v>9982116.6353004947</v>
      </c>
      <c r="M115" s="34">
        <v>4044147.8108123629</v>
      </c>
      <c r="N115" s="303">
        <f>SUM(Yhteenveto[[#This Row],[Valtionosuus ennen verotuloihin perustuvaa valtionosuuden tasausta]]+Yhteenveto[[#This Row],[Verotuloihin perustuva valtionosuuden tasaus]])</f>
        <v>14026264.446112858</v>
      </c>
      <c r="O115" s="241">
        <v>1933569.4464412271</v>
      </c>
      <c r="P115" s="372">
        <f>SUM(Yhteenveto[[#This Row],[Kunnan  peruspalvelujen valtionosuus ]:[Veroperustemuutoksista johtuvien veromenetysten korvaus]])</f>
        <v>15959833.892554086</v>
      </c>
      <c r="Q115" s="34">
        <v>-79918.404500000004</v>
      </c>
      <c r="R115" s="341">
        <f>+Yhteenveto[[#This Row],[Kunnan  peruspalvelujen valtionosuus ]]+Yhteenveto[[#This Row],[Veroperustemuutoksista johtuvien veromenetysten korvaus]]+Yhteenveto[[#This Row],[Kotikuntakorvaus, netto (ei päivitetty)]]</f>
        <v>15879915.488054086</v>
      </c>
      <c r="S115" s="11"/>
      <c r="T115"/>
    </row>
    <row r="116" spans="1:20" ht="15">
      <c r="A116" s="32">
        <v>309</v>
      </c>
      <c r="B116" s="13" t="s">
        <v>121</v>
      </c>
      <c r="C116" s="15">
        <v>6409</v>
      </c>
      <c r="D116" s="15">
        <v>8210909.9000000004</v>
      </c>
      <c r="E116" s="15">
        <v>2578692.9389596586</v>
      </c>
      <c r="F116" s="231">
        <f>Yhteenveto[[#This Row],[Ikärakenne, laskennallinen kustannus]]+Yhteenveto[[#This Row],[Muut laskennalliset kustannukset ]]</f>
        <v>10789602.838959659</v>
      </c>
      <c r="G116" s="508">
        <v>1422.47</v>
      </c>
      <c r="H116" s="17">
        <v>9116610.2300000004</v>
      </c>
      <c r="I116" s="339">
        <f>Yhteenveto[[#This Row],[Laskennalliset kustannukset yhteensä]]-Yhteenveto[[#This Row],[Omarahoitusosuus, €]]</f>
        <v>1672992.6089596581</v>
      </c>
      <c r="J116" s="33">
        <v>388595.66674836376</v>
      </c>
      <c r="K116" s="34">
        <v>-2540406.0170002207</v>
      </c>
      <c r="L116" s="231">
        <f>Yhteenveto[[#This Row],[Valtionosuus omarahoitusosuuden jälkeen (välisumma)]]+Yhteenveto[[#This Row],[Lisäosat yhteensä]]+Yhteenveto[[#This Row],[Valtionosuuteen tehtävät vähennykset ja lisäykset, netto]]</f>
        <v>-478817.74129219889</v>
      </c>
      <c r="M116" s="34">
        <v>4009940.7017663154</v>
      </c>
      <c r="N116" s="303">
        <f>SUM(Yhteenveto[[#This Row],[Valtionosuus ennen verotuloihin perustuvaa valtionosuuden tasausta]]+Yhteenveto[[#This Row],[Verotuloihin perustuva valtionosuuden tasaus]])</f>
        <v>3531122.9604741167</v>
      </c>
      <c r="O116" s="241">
        <v>880830.94071702904</v>
      </c>
      <c r="P116" s="372">
        <f>SUM(Yhteenveto[[#This Row],[Kunnan  peruspalvelujen valtionosuus ]:[Veroperustemuutoksista johtuvien veromenetysten korvaus]])</f>
        <v>4411953.9011911461</v>
      </c>
      <c r="Q116" s="34">
        <v>-35491.111499999985</v>
      </c>
      <c r="R116" s="341">
        <f>+Yhteenveto[[#This Row],[Kunnan  peruspalvelujen valtionosuus ]]+Yhteenveto[[#This Row],[Veroperustemuutoksista johtuvien veromenetysten korvaus]]+Yhteenveto[[#This Row],[Kotikuntakorvaus, netto (ei päivitetty)]]</f>
        <v>4376462.7896911465</v>
      </c>
      <c r="S116" s="11"/>
      <c r="T116"/>
    </row>
    <row r="117" spans="1:20" ht="15">
      <c r="A117" s="32">
        <v>312</v>
      </c>
      <c r="B117" s="13" t="s">
        <v>122</v>
      </c>
      <c r="C117" s="15">
        <v>1174</v>
      </c>
      <c r="D117" s="15">
        <v>1818713.78</v>
      </c>
      <c r="E117" s="15">
        <v>545189.58828081714</v>
      </c>
      <c r="F117" s="231">
        <f>Yhteenveto[[#This Row],[Ikärakenne, laskennallinen kustannus]]+Yhteenveto[[#This Row],[Muut laskennalliset kustannukset ]]</f>
        <v>2363903.3682808173</v>
      </c>
      <c r="G117" s="508">
        <v>1422.47</v>
      </c>
      <c r="H117" s="17">
        <v>1669979.78</v>
      </c>
      <c r="I117" s="339">
        <f>Yhteenveto[[#This Row],[Laskennalliset kustannukset yhteensä]]-Yhteenveto[[#This Row],[Omarahoitusosuus, €]]</f>
        <v>693923.58828081726</v>
      </c>
      <c r="J117" s="33">
        <v>189989.06713662861</v>
      </c>
      <c r="K117" s="34">
        <v>-223341.63521100639</v>
      </c>
      <c r="L117" s="231">
        <f>Yhteenveto[[#This Row],[Valtionosuus omarahoitusosuuden jälkeen (välisumma)]]+Yhteenveto[[#This Row],[Lisäosat yhteensä]]+Yhteenveto[[#This Row],[Valtionosuuteen tehtävät vähennykset ja lisäykset, netto]]</f>
        <v>660571.02020643943</v>
      </c>
      <c r="M117" s="34">
        <v>424431.56851485645</v>
      </c>
      <c r="N117" s="303">
        <f>SUM(Yhteenveto[[#This Row],[Valtionosuus ennen verotuloihin perustuvaa valtionosuuden tasausta]]+Yhteenveto[[#This Row],[Verotuloihin perustuva valtionosuuden tasaus]])</f>
        <v>1085002.5887212958</v>
      </c>
      <c r="O117" s="241">
        <v>208672.05856749206</v>
      </c>
      <c r="P117" s="372">
        <f>SUM(Yhteenveto[[#This Row],[Kunnan  peruspalvelujen valtionosuus ]:[Veroperustemuutoksista johtuvien veromenetysten korvaus]])</f>
        <v>1293674.6472887879</v>
      </c>
      <c r="Q117" s="34">
        <v>-8951.0999999999985</v>
      </c>
      <c r="R117" s="341">
        <f>+Yhteenveto[[#This Row],[Kunnan  peruspalvelujen valtionosuus ]]+Yhteenveto[[#This Row],[Veroperustemuutoksista johtuvien veromenetysten korvaus]]+Yhteenveto[[#This Row],[Kotikuntakorvaus, netto (ei päivitetty)]]</f>
        <v>1284723.5472887878</v>
      </c>
      <c r="S117" s="11"/>
      <c r="T117"/>
    </row>
    <row r="118" spans="1:20" ht="15">
      <c r="A118" s="32">
        <v>316</v>
      </c>
      <c r="B118" s="13" t="s">
        <v>123</v>
      </c>
      <c r="C118" s="15">
        <v>4114</v>
      </c>
      <c r="D118" s="15">
        <v>5249277.2799999993</v>
      </c>
      <c r="E118" s="15">
        <v>1213529.665766662</v>
      </c>
      <c r="F118" s="231">
        <f>Yhteenveto[[#This Row],[Ikärakenne, laskennallinen kustannus]]+Yhteenveto[[#This Row],[Muut laskennalliset kustannukset ]]</f>
        <v>6462806.9457666613</v>
      </c>
      <c r="G118" s="508">
        <v>1422.47</v>
      </c>
      <c r="H118" s="17">
        <v>5852041.5800000001</v>
      </c>
      <c r="I118" s="339">
        <f>Yhteenveto[[#This Row],[Laskennalliset kustannukset yhteensä]]-Yhteenveto[[#This Row],[Omarahoitusosuus, €]]</f>
        <v>610765.36576666124</v>
      </c>
      <c r="J118" s="33">
        <v>129032.40273583212</v>
      </c>
      <c r="K118" s="34">
        <v>-693044.81250459375</v>
      </c>
      <c r="L118" s="231">
        <f>Yhteenveto[[#This Row],[Valtionosuus omarahoitusosuuden jälkeen (välisumma)]]+Yhteenveto[[#This Row],[Lisäosat yhteensä]]+Yhteenveto[[#This Row],[Valtionosuuteen tehtävät vähennykset ja lisäykset, netto]]</f>
        <v>46752.95599789964</v>
      </c>
      <c r="M118" s="34">
        <v>1139600.2505227693</v>
      </c>
      <c r="N118" s="303">
        <f>SUM(Yhteenveto[[#This Row],[Valtionosuus ennen verotuloihin perustuvaa valtionosuuden tasausta]]+Yhteenveto[[#This Row],[Verotuloihin perustuva valtionosuuden tasaus]])</f>
        <v>1186353.2065206689</v>
      </c>
      <c r="O118" s="241">
        <v>499103.15345404856</v>
      </c>
      <c r="P118" s="372">
        <f>SUM(Yhteenveto[[#This Row],[Kunnan  peruspalvelujen valtionosuus ]:[Veroperustemuutoksista johtuvien veromenetysten korvaus]])</f>
        <v>1685456.3599747175</v>
      </c>
      <c r="Q118" s="34">
        <v>-210529.87199999997</v>
      </c>
      <c r="R118" s="341">
        <f>+Yhteenveto[[#This Row],[Kunnan  peruspalvelujen valtionosuus ]]+Yhteenveto[[#This Row],[Veroperustemuutoksista johtuvien veromenetysten korvaus]]+Yhteenveto[[#This Row],[Kotikuntakorvaus, netto (ei päivitetty)]]</f>
        <v>1474926.4879747175</v>
      </c>
      <c r="S118" s="11"/>
      <c r="T118"/>
    </row>
    <row r="119" spans="1:20" ht="15">
      <c r="A119" s="32">
        <v>317</v>
      </c>
      <c r="B119" s="13" t="s">
        <v>124</v>
      </c>
      <c r="C119" s="15">
        <v>2440</v>
      </c>
      <c r="D119" s="15">
        <v>4238233.8599999994</v>
      </c>
      <c r="E119" s="15">
        <v>959600.85073157842</v>
      </c>
      <c r="F119" s="231">
        <f>Yhteenveto[[#This Row],[Ikärakenne, laskennallinen kustannus]]+Yhteenveto[[#This Row],[Muut laskennalliset kustannukset ]]</f>
        <v>5197834.7107315781</v>
      </c>
      <c r="G119" s="508">
        <v>1422.47</v>
      </c>
      <c r="H119" s="17">
        <v>3470826.8000000003</v>
      </c>
      <c r="I119" s="339">
        <f>Yhteenveto[[#This Row],[Laskennalliset kustannukset yhteensä]]-Yhteenveto[[#This Row],[Omarahoitusosuus, €]]</f>
        <v>1727007.9107315778</v>
      </c>
      <c r="J119" s="33">
        <v>362805.08962430898</v>
      </c>
      <c r="K119" s="34">
        <v>649463.120389816</v>
      </c>
      <c r="L119" s="231">
        <f>Yhteenveto[[#This Row],[Valtionosuus omarahoitusosuuden jälkeen (välisumma)]]+Yhteenveto[[#This Row],[Lisäosat yhteensä]]+Yhteenveto[[#This Row],[Valtionosuuteen tehtävät vähennykset ja lisäykset, netto]]</f>
        <v>2739276.1207457026</v>
      </c>
      <c r="M119" s="34">
        <v>1579730.2623528142</v>
      </c>
      <c r="N119" s="303">
        <f>SUM(Yhteenveto[[#This Row],[Valtionosuus ennen verotuloihin perustuvaa valtionosuuden tasausta]]+Yhteenveto[[#This Row],[Verotuloihin perustuva valtionosuuden tasaus]])</f>
        <v>4319006.3830985166</v>
      </c>
      <c r="O119" s="241">
        <v>434983.49046405789</v>
      </c>
      <c r="P119" s="372">
        <f>SUM(Yhteenveto[[#This Row],[Kunnan  peruspalvelujen valtionosuus ]:[Veroperustemuutoksista johtuvien veromenetysten korvaus]])</f>
        <v>4753989.8735625744</v>
      </c>
      <c r="Q119" s="34">
        <v>-37296.25</v>
      </c>
      <c r="R119" s="341">
        <f>+Yhteenveto[[#This Row],[Kunnan  peruspalvelujen valtionosuus ]]+Yhteenveto[[#This Row],[Veroperustemuutoksista johtuvien veromenetysten korvaus]]+Yhteenveto[[#This Row],[Kotikuntakorvaus, netto (ei päivitetty)]]</f>
        <v>4716693.6235625744</v>
      </c>
      <c r="S119" s="11"/>
      <c r="T119"/>
    </row>
    <row r="120" spans="1:20" ht="15">
      <c r="A120" s="32">
        <v>320</v>
      </c>
      <c r="B120" s="13" t="s">
        <v>125</v>
      </c>
      <c r="C120" s="15">
        <v>7030</v>
      </c>
      <c r="D120" s="15">
        <v>7236670.0399999991</v>
      </c>
      <c r="E120" s="15">
        <v>4603616.4286772534</v>
      </c>
      <c r="F120" s="231">
        <f>Yhteenveto[[#This Row],[Ikärakenne, laskennallinen kustannus]]+Yhteenveto[[#This Row],[Muut laskennalliset kustannukset ]]</f>
        <v>11840286.468677253</v>
      </c>
      <c r="G120" s="508">
        <v>1422.47</v>
      </c>
      <c r="H120" s="17">
        <v>9999964.0999999996</v>
      </c>
      <c r="I120" s="339">
        <f>Yhteenveto[[#This Row],[Laskennalliset kustannukset yhteensä]]-Yhteenveto[[#This Row],[Omarahoitusosuus, €]]</f>
        <v>1840322.3686772529</v>
      </c>
      <c r="J120" s="33">
        <v>1215513.7819534217</v>
      </c>
      <c r="K120" s="34">
        <v>730153.19989015034</v>
      </c>
      <c r="L120" s="231">
        <f>Yhteenveto[[#This Row],[Valtionosuus omarahoitusosuuden jälkeen (välisumma)]]+Yhteenveto[[#This Row],[Lisäosat yhteensä]]+Yhteenveto[[#This Row],[Valtionosuuteen tehtävät vähennykset ja lisäykset, netto]]</f>
        <v>3785989.3505208245</v>
      </c>
      <c r="M120" s="34">
        <v>2736355.2689462025</v>
      </c>
      <c r="N120" s="303">
        <f>SUM(Yhteenveto[[#This Row],[Valtionosuus ennen verotuloihin perustuvaa valtionosuuden tasausta]]+Yhteenveto[[#This Row],[Verotuloihin perustuva valtionosuuden tasaus]])</f>
        <v>6522344.6194670275</v>
      </c>
      <c r="O120" s="241">
        <v>922184.58065940812</v>
      </c>
      <c r="P120" s="372">
        <f>SUM(Yhteenveto[[#This Row],[Kunnan  peruspalvelujen valtionosuus ]:[Veroperustemuutoksista johtuvien veromenetysten korvaus]])</f>
        <v>7444529.2001264356</v>
      </c>
      <c r="Q120" s="34">
        <v>-15246.707000000024</v>
      </c>
      <c r="R120" s="341">
        <f>+Yhteenveto[[#This Row],[Kunnan  peruspalvelujen valtionosuus ]]+Yhteenveto[[#This Row],[Veroperustemuutoksista johtuvien veromenetysten korvaus]]+Yhteenveto[[#This Row],[Kotikuntakorvaus, netto (ei päivitetty)]]</f>
        <v>7429282.4931264352</v>
      </c>
      <c r="S120" s="11"/>
      <c r="T120"/>
    </row>
    <row r="121" spans="1:20" ht="15">
      <c r="A121" s="32">
        <v>322</v>
      </c>
      <c r="B121" s="13" t="s">
        <v>126</v>
      </c>
      <c r="C121" s="15">
        <v>6462</v>
      </c>
      <c r="D121" s="15">
        <v>7724231.9199999999</v>
      </c>
      <c r="E121" s="15">
        <v>5628434.1249006474</v>
      </c>
      <c r="F121" s="231">
        <f>Yhteenveto[[#This Row],[Ikärakenne, laskennallinen kustannus]]+Yhteenveto[[#This Row],[Muut laskennalliset kustannukset ]]</f>
        <v>13352666.044900648</v>
      </c>
      <c r="G121" s="508">
        <v>1422.47</v>
      </c>
      <c r="H121" s="17">
        <v>9192001.1400000006</v>
      </c>
      <c r="I121" s="339">
        <f>Yhteenveto[[#This Row],[Laskennalliset kustannukset yhteensä]]-Yhteenveto[[#This Row],[Omarahoitusosuus, €]]</f>
        <v>4160664.9049006477</v>
      </c>
      <c r="J121" s="33">
        <v>1002149.8704488612</v>
      </c>
      <c r="K121" s="34">
        <v>1515668.2506119437</v>
      </c>
      <c r="L121" s="231">
        <f>Yhteenveto[[#This Row],[Valtionosuus omarahoitusosuuden jälkeen (välisumma)]]+Yhteenveto[[#This Row],[Lisäosat yhteensä]]+Yhteenveto[[#This Row],[Valtionosuuteen tehtävät vähennykset ja lisäykset, netto]]</f>
        <v>6678483.0259614531</v>
      </c>
      <c r="M121" s="34">
        <v>2081017.5494337946</v>
      </c>
      <c r="N121" s="303">
        <f>SUM(Yhteenveto[[#This Row],[Valtionosuus ennen verotuloihin perustuvaa valtionosuuden tasausta]]+Yhteenveto[[#This Row],[Verotuloihin perustuva valtionosuuden tasaus]])</f>
        <v>8759500.575395247</v>
      </c>
      <c r="O121" s="241">
        <v>985257.36943827313</v>
      </c>
      <c r="P121" s="372">
        <f>SUM(Yhteenveto[[#This Row],[Kunnan  peruspalvelujen valtionosuus ]:[Veroperustemuutoksista johtuvien veromenetysten korvaus]])</f>
        <v>9744757.9448335208</v>
      </c>
      <c r="Q121" s="34">
        <v>110665.433</v>
      </c>
      <c r="R121" s="341">
        <f>+Yhteenveto[[#This Row],[Kunnan  peruspalvelujen valtionosuus ]]+Yhteenveto[[#This Row],[Veroperustemuutoksista johtuvien veromenetysten korvaus]]+Yhteenveto[[#This Row],[Kotikuntakorvaus, netto (ei päivitetty)]]</f>
        <v>9855423.377833521</v>
      </c>
      <c r="S121" s="11"/>
      <c r="T121"/>
    </row>
    <row r="122" spans="1:20" ht="15">
      <c r="A122" s="32">
        <v>398</v>
      </c>
      <c r="B122" s="13" t="s">
        <v>127</v>
      </c>
      <c r="C122" s="15">
        <v>120693</v>
      </c>
      <c r="D122" s="15">
        <v>167777858.59999999</v>
      </c>
      <c r="E122" s="15">
        <v>43874682.782664582</v>
      </c>
      <c r="F122" s="231">
        <f>Yhteenveto[[#This Row],[Ikärakenne, laskennallinen kustannus]]+Yhteenveto[[#This Row],[Muut laskennalliset kustannukset ]]</f>
        <v>211652541.38266456</v>
      </c>
      <c r="G122" s="508">
        <v>1422.47</v>
      </c>
      <c r="H122" s="17">
        <v>171682171.71000001</v>
      </c>
      <c r="I122" s="339">
        <f>Yhteenveto[[#This Row],[Laskennalliset kustannukset yhteensä]]-Yhteenveto[[#This Row],[Omarahoitusosuus, €]]</f>
        <v>39970369.672664553</v>
      </c>
      <c r="J122" s="33">
        <v>4617300.2048567925</v>
      </c>
      <c r="K122" s="34">
        <v>3913597.7417552844</v>
      </c>
      <c r="L122" s="231">
        <f>Yhteenveto[[#This Row],[Valtionosuus omarahoitusosuuden jälkeen (välisumma)]]+Yhteenveto[[#This Row],[Lisäosat yhteensä]]+Yhteenveto[[#This Row],[Valtionosuuteen tehtävät vähennykset ja lisäykset, netto]]</f>
        <v>48501267.619276628</v>
      </c>
      <c r="M122" s="34">
        <v>25618192.0986946</v>
      </c>
      <c r="N122" s="303">
        <f>SUM(Yhteenveto[[#This Row],[Valtionosuus ennen verotuloihin perustuvaa valtionosuuden tasausta]]+Yhteenveto[[#This Row],[Verotuloihin perustuva valtionosuuden tasaus]])</f>
        <v>74119459.717971236</v>
      </c>
      <c r="O122" s="241">
        <v>11336886.671969105</v>
      </c>
      <c r="P122" s="372">
        <f>SUM(Yhteenveto[[#This Row],[Kunnan  peruspalvelujen valtionosuus ]:[Veroperustemuutoksista johtuvien veromenetysten korvaus]])</f>
        <v>85456346.389940336</v>
      </c>
      <c r="Q122" s="34">
        <v>-8236005.572100007</v>
      </c>
      <c r="R122" s="341">
        <f>+Yhteenveto[[#This Row],[Kunnan  peruspalvelujen valtionosuus ]]+Yhteenveto[[#This Row],[Veroperustemuutoksista johtuvien veromenetysten korvaus]]+Yhteenveto[[#This Row],[Kotikuntakorvaus, netto (ei päivitetty)]]</f>
        <v>77220340.817840323</v>
      </c>
      <c r="S122" s="11"/>
      <c r="T122"/>
    </row>
    <row r="123" spans="1:20" ht="15">
      <c r="A123" s="32">
        <v>399</v>
      </c>
      <c r="B123" s="13" t="s">
        <v>128</v>
      </c>
      <c r="C123" s="15">
        <v>7682</v>
      </c>
      <c r="D123" s="15">
        <v>14304293.419999998</v>
      </c>
      <c r="E123" s="15">
        <v>1240809.5037619225</v>
      </c>
      <c r="F123" s="231">
        <f>Yhteenveto[[#This Row],[Ikärakenne, laskennallinen kustannus]]+Yhteenveto[[#This Row],[Muut laskennalliset kustannukset ]]</f>
        <v>15545102.923761921</v>
      </c>
      <c r="G123" s="508">
        <v>1422.47</v>
      </c>
      <c r="H123" s="17">
        <v>10927414.540000001</v>
      </c>
      <c r="I123" s="339">
        <f>Yhteenveto[[#This Row],[Laskennalliset kustannukset yhteensä]]-Yhteenveto[[#This Row],[Omarahoitusosuus, €]]</f>
        <v>4617688.38376192</v>
      </c>
      <c r="J123" s="33">
        <v>169278.62029652466</v>
      </c>
      <c r="K123" s="34">
        <v>-3570349.7744411994</v>
      </c>
      <c r="L123" s="231">
        <f>Yhteenveto[[#This Row],[Valtionosuus omarahoitusosuuden jälkeen (välisumma)]]+Yhteenveto[[#This Row],[Lisäosat yhteensä]]+Yhteenveto[[#This Row],[Valtionosuuteen tehtävät vähennykset ja lisäykset, netto]]</f>
        <v>1216617.2296172455</v>
      </c>
      <c r="M123" s="34">
        <v>3106426.586257867</v>
      </c>
      <c r="N123" s="303">
        <f>SUM(Yhteenveto[[#This Row],[Valtionosuus ennen verotuloihin perustuvaa valtionosuuden tasausta]]+Yhteenveto[[#This Row],[Verotuloihin perustuva valtionosuuden tasaus]])</f>
        <v>4323043.815875113</v>
      </c>
      <c r="O123" s="241">
        <v>679228.37483000162</v>
      </c>
      <c r="P123" s="372">
        <f>SUM(Yhteenveto[[#This Row],[Kunnan  peruspalvelujen valtionosuus ]:[Veroperustemuutoksista johtuvien veromenetysten korvaus]])</f>
        <v>5002272.190705115</v>
      </c>
      <c r="Q123" s="34">
        <v>62105.71550000002</v>
      </c>
      <c r="R123" s="341">
        <f>+Yhteenveto[[#This Row],[Kunnan  peruspalvelujen valtionosuus ]]+Yhteenveto[[#This Row],[Veroperustemuutoksista johtuvien veromenetysten korvaus]]+Yhteenveto[[#This Row],[Kotikuntakorvaus, netto (ei päivitetty)]]</f>
        <v>5064377.9062051149</v>
      </c>
      <c r="S123" s="11"/>
      <c r="T123"/>
    </row>
    <row r="124" spans="1:20" ht="15">
      <c r="A124" s="32">
        <v>400</v>
      </c>
      <c r="B124" s="13" t="s">
        <v>129</v>
      </c>
      <c r="C124" s="15">
        <v>8441</v>
      </c>
      <c r="D124" s="15">
        <v>13665484.310000001</v>
      </c>
      <c r="E124" s="15">
        <v>3335101.1760914815</v>
      </c>
      <c r="F124" s="231">
        <f>Yhteenveto[[#This Row],[Ikärakenne, laskennallinen kustannus]]+Yhteenveto[[#This Row],[Muut laskennalliset kustannukset ]]</f>
        <v>17000585.486091483</v>
      </c>
      <c r="G124" s="508">
        <v>1422.47</v>
      </c>
      <c r="H124" s="17">
        <v>12007069.27</v>
      </c>
      <c r="I124" s="339">
        <f>Yhteenveto[[#This Row],[Laskennalliset kustannukset yhteensä]]-Yhteenveto[[#This Row],[Omarahoitusosuus, €]]</f>
        <v>4993516.2160914838</v>
      </c>
      <c r="J124" s="33">
        <v>251430.16762929491</v>
      </c>
      <c r="K124" s="34">
        <v>1957934.8034204771</v>
      </c>
      <c r="L124" s="231">
        <f>Yhteenveto[[#This Row],[Valtionosuus omarahoitusosuuden jälkeen (välisumma)]]+Yhteenveto[[#This Row],[Lisäosat yhteensä]]+Yhteenveto[[#This Row],[Valtionosuuteen tehtävät vähennykset ja lisäykset, netto]]</f>
        <v>7202881.1871412564</v>
      </c>
      <c r="M124" s="34">
        <v>2784356.5588172064</v>
      </c>
      <c r="N124" s="303">
        <f>SUM(Yhteenveto[[#This Row],[Valtionosuus ennen verotuloihin perustuvaa valtionosuuden tasausta]]+Yhteenveto[[#This Row],[Verotuloihin perustuva valtionosuuden tasaus]])</f>
        <v>9987237.7459584624</v>
      </c>
      <c r="O124" s="241">
        <v>1144381.4883236114</v>
      </c>
      <c r="P124" s="372">
        <f>SUM(Yhteenveto[[#This Row],[Kunnan  peruspalvelujen valtionosuus ]:[Veroperustemuutoksista johtuvien veromenetysten korvaus]])</f>
        <v>11131619.234282074</v>
      </c>
      <c r="Q124" s="34">
        <v>248169.2475</v>
      </c>
      <c r="R124" s="341">
        <f>+Yhteenveto[[#This Row],[Kunnan  peruspalvelujen valtionosuus ]]+Yhteenveto[[#This Row],[Veroperustemuutoksista johtuvien veromenetysten korvaus]]+Yhteenveto[[#This Row],[Kotikuntakorvaus, netto (ei päivitetty)]]</f>
        <v>11379788.481782075</v>
      </c>
      <c r="S124" s="11"/>
      <c r="T124"/>
    </row>
    <row r="125" spans="1:20" ht="15">
      <c r="A125" s="32">
        <v>402</v>
      </c>
      <c r="B125" s="13" t="s">
        <v>130</v>
      </c>
      <c r="C125" s="15">
        <v>8975</v>
      </c>
      <c r="D125" s="15">
        <v>13066266.57</v>
      </c>
      <c r="E125" s="15">
        <v>2652123.5875608069</v>
      </c>
      <c r="F125" s="231">
        <f>Yhteenveto[[#This Row],[Ikärakenne, laskennallinen kustannus]]+Yhteenveto[[#This Row],[Muut laskennalliset kustannukset ]]</f>
        <v>15718390.157560807</v>
      </c>
      <c r="G125" s="508">
        <v>1422.47</v>
      </c>
      <c r="H125" s="17">
        <v>12766668.25</v>
      </c>
      <c r="I125" s="339">
        <f>Yhteenveto[[#This Row],[Laskennalliset kustannukset yhteensä]]-Yhteenveto[[#This Row],[Omarahoitusosuus, €]]</f>
        <v>2951721.9075608067</v>
      </c>
      <c r="J125" s="33">
        <v>506073.89809256804</v>
      </c>
      <c r="K125" s="34">
        <v>-3848779.9102170495</v>
      </c>
      <c r="L125" s="231">
        <f>Yhteenveto[[#This Row],[Valtionosuus omarahoitusosuuden jälkeen (välisumma)]]+Yhteenveto[[#This Row],[Lisäosat yhteensä]]+Yhteenveto[[#This Row],[Valtionosuuteen tehtävät vähennykset ja lisäykset, netto]]</f>
        <v>-390984.10456367489</v>
      </c>
      <c r="M125" s="34">
        <v>5203628.1651967512</v>
      </c>
      <c r="N125" s="303">
        <f>SUM(Yhteenveto[[#This Row],[Valtionosuus ennen verotuloihin perustuvaa valtionosuuden tasausta]]+Yhteenveto[[#This Row],[Verotuloihin perustuva valtionosuuden tasaus]])</f>
        <v>4812644.0606330764</v>
      </c>
      <c r="O125" s="241">
        <v>1236751.9903126508</v>
      </c>
      <c r="P125" s="372">
        <f>SUM(Yhteenveto[[#This Row],[Kunnan  peruspalvelujen valtionosuus ]:[Veroperustemuutoksista johtuvien veromenetysten korvaus]])</f>
        <v>6049396.0509457272</v>
      </c>
      <c r="Q125" s="34">
        <v>287210.96200000006</v>
      </c>
      <c r="R125" s="341">
        <f>+Yhteenveto[[#This Row],[Kunnan  peruspalvelujen valtionosuus ]]+Yhteenveto[[#This Row],[Veroperustemuutoksista johtuvien veromenetysten korvaus]]+Yhteenveto[[#This Row],[Kotikuntakorvaus, netto (ei päivitetty)]]</f>
        <v>6336607.0129457274</v>
      </c>
      <c r="S125" s="11"/>
      <c r="T125"/>
    </row>
    <row r="126" spans="1:20" ht="15">
      <c r="A126" s="32">
        <v>403</v>
      </c>
      <c r="B126" s="13" t="s">
        <v>131</v>
      </c>
      <c r="C126" s="15">
        <v>2789</v>
      </c>
      <c r="D126" s="15">
        <v>3741254.11</v>
      </c>
      <c r="E126" s="15">
        <v>895728.55509902129</v>
      </c>
      <c r="F126" s="231">
        <f>Yhteenveto[[#This Row],[Ikärakenne, laskennallinen kustannus]]+Yhteenveto[[#This Row],[Muut laskennalliset kustannukset ]]</f>
        <v>4636982.665099021</v>
      </c>
      <c r="G126" s="508">
        <v>1422.47</v>
      </c>
      <c r="H126" s="17">
        <v>3967268.83</v>
      </c>
      <c r="I126" s="339">
        <f>Yhteenveto[[#This Row],[Laskennalliset kustannukset yhteensä]]-Yhteenveto[[#This Row],[Omarahoitusosuus, €]]</f>
        <v>669713.83509902097</v>
      </c>
      <c r="J126" s="33">
        <v>262985.85088888014</v>
      </c>
      <c r="K126" s="34">
        <v>104878.00171905459</v>
      </c>
      <c r="L126" s="231">
        <f>Yhteenveto[[#This Row],[Valtionosuus omarahoitusosuuden jälkeen (välisumma)]]+Yhteenveto[[#This Row],[Lisäosat yhteensä]]+Yhteenveto[[#This Row],[Valtionosuuteen tehtävät vähennykset ja lisäykset, netto]]</f>
        <v>1037577.6877069557</v>
      </c>
      <c r="M126" s="34">
        <v>1682785.8391014829</v>
      </c>
      <c r="N126" s="303">
        <f>SUM(Yhteenveto[[#This Row],[Valtionosuus ennen verotuloihin perustuvaa valtionosuuden tasausta]]+Yhteenveto[[#This Row],[Verotuloihin perustuva valtionosuuden tasaus]])</f>
        <v>2720363.5268084388</v>
      </c>
      <c r="O126" s="241">
        <v>502393.65273700847</v>
      </c>
      <c r="P126" s="372">
        <f>SUM(Yhteenveto[[#This Row],[Kunnan  peruspalvelujen valtionosuus ]:[Veroperustemuutoksista johtuvien veromenetysten korvaus]])</f>
        <v>3222757.1795454472</v>
      </c>
      <c r="Q126" s="34">
        <v>-38788.100000000006</v>
      </c>
      <c r="R126" s="341">
        <f>+Yhteenveto[[#This Row],[Kunnan  peruspalvelujen valtionosuus ]]+Yhteenveto[[#This Row],[Veroperustemuutoksista johtuvien veromenetysten korvaus]]+Yhteenveto[[#This Row],[Kotikuntakorvaus, netto (ei päivitetty)]]</f>
        <v>3183969.0795454471</v>
      </c>
      <c r="S126" s="11"/>
      <c r="T126"/>
    </row>
    <row r="127" spans="1:20" ht="15">
      <c r="A127" s="32">
        <v>405</v>
      </c>
      <c r="B127" s="13" t="s">
        <v>132</v>
      </c>
      <c r="C127" s="15">
        <v>72988</v>
      </c>
      <c r="D127" s="15">
        <v>96613660.319999993</v>
      </c>
      <c r="E127" s="15">
        <v>25552015.419936351</v>
      </c>
      <c r="F127" s="231">
        <f>Yhteenveto[[#This Row],[Ikärakenne, laskennallinen kustannus]]+Yhteenveto[[#This Row],[Muut laskennalliset kustannukset ]]</f>
        <v>122165675.73993635</v>
      </c>
      <c r="G127" s="508">
        <v>1422.47</v>
      </c>
      <c r="H127" s="17">
        <v>103823240.36</v>
      </c>
      <c r="I127" s="339">
        <f>Yhteenveto[[#This Row],[Laskennalliset kustannukset yhteensä]]-Yhteenveto[[#This Row],[Omarahoitusosuus, €]]</f>
        <v>18342435.379936352</v>
      </c>
      <c r="J127" s="33">
        <v>2764918.6893735765</v>
      </c>
      <c r="K127" s="34">
        <v>-6577103.2105638692</v>
      </c>
      <c r="L127" s="231">
        <f>Yhteenveto[[#This Row],[Valtionosuus omarahoitusosuuden jälkeen (välisumma)]]+Yhteenveto[[#This Row],[Lisäosat yhteensä]]+Yhteenveto[[#This Row],[Valtionosuuteen tehtävät vähennykset ja lisäykset, netto]]</f>
        <v>14530250.858746059</v>
      </c>
      <c r="M127" s="34">
        <v>11857769.684943264</v>
      </c>
      <c r="N127" s="303">
        <f>SUM(Yhteenveto[[#This Row],[Valtionosuus ennen verotuloihin perustuvaa valtionosuuden tasausta]]+Yhteenveto[[#This Row],[Verotuloihin perustuva valtionosuuden tasaus]])</f>
        <v>26388020.543689325</v>
      </c>
      <c r="O127" s="241">
        <v>7075895.9377933061</v>
      </c>
      <c r="P127" s="372">
        <f>SUM(Yhteenveto[[#This Row],[Kunnan  peruspalvelujen valtionosuus ]:[Veroperustemuutoksista johtuvien veromenetysten korvaus]])</f>
        <v>33463916.481482632</v>
      </c>
      <c r="Q127" s="34">
        <v>-1996896.4234500001</v>
      </c>
      <c r="R127" s="341">
        <f>+Yhteenveto[[#This Row],[Kunnan  peruspalvelujen valtionosuus ]]+Yhteenveto[[#This Row],[Veroperustemuutoksista johtuvien veromenetysten korvaus]]+Yhteenveto[[#This Row],[Kotikuntakorvaus, netto (ei päivitetty)]]</f>
        <v>31467020.058032632</v>
      </c>
      <c r="S127" s="11"/>
      <c r="T127"/>
    </row>
    <row r="128" spans="1:20" ht="15">
      <c r="A128" s="32">
        <v>407</v>
      </c>
      <c r="B128" s="13" t="s">
        <v>133</v>
      </c>
      <c r="C128" s="15">
        <v>2449</v>
      </c>
      <c r="D128" s="15">
        <v>3333295.7199999997</v>
      </c>
      <c r="E128" s="15">
        <v>1182903.6286393574</v>
      </c>
      <c r="F128" s="231">
        <f>Yhteenveto[[#This Row],[Ikärakenne, laskennallinen kustannus]]+Yhteenveto[[#This Row],[Muut laskennalliset kustannukset ]]</f>
        <v>4516199.3486393569</v>
      </c>
      <c r="G128" s="508">
        <v>1422.47</v>
      </c>
      <c r="H128" s="17">
        <v>3483629.0300000003</v>
      </c>
      <c r="I128" s="339">
        <f>Yhteenveto[[#This Row],[Laskennalliset kustannukset yhteensä]]-Yhteenveto[[#This Row],[Omarahoitusosuus, €]]</f>
        <v>1032570.3186393566</v>
      </c>
      <c r="J128" s="33">
        <v>98147.19349694722</v>
      </c>
      <c r="K128" s="34">
        <v>-10099.488968436985</v>
      </c>
      <c r="L128" s="231">
        <f>Yhteenveto[[#This Row],[Valtionosuus omarahoitusosuuden jälkeen (välisumma)]]+Yhteenveto[[#This Row],[Lisäosat yhteensä]]+Yhteenveto[[#This Row],[Valtionosuuteen tehtävät vähennykset ja lisäykset, netto]]</f>
        <v>1120618.0231678667</v>
      </c>
      <c r="M128" s="34">
        <v>1364922.4315778031</v>
      </c>
      <c r="N128" s="303">
        <f>SUM(Yhteenveto[[#This Row],[Valtionosuus ennen verotuloihin perustuvaa valtionosuuden tasausta]]+Yhteenveto[[#This Row],[Verotuloihin perustuva valtionosuuden tasaus]])</f>
        <v>2485540.4547456698</v>
      </c>
      <c r="O128" s="241">
        <v>467740.25545950892</v>
      </c>
      <c r="P128" s="372">
        <f>SUM(Yhteenveto[[#This Row],[Kunnan  peruspalvelujen valtionosuus ]:[Veroperustemuutoksista johtuvien veromenetysten korvaus]])</f>
        <v>2953280.7102051787</v>
      </c>
      <c r="Q128" s="34">
        <v>-869748.54999999993</v>
      </c>
      <c r="R128" s="341">
        <f>+Yhteenveto[[#This Row],[Kunnan  peruspalvelujen valtionosuus ]]+Yhteenveto[[#This Row],[Veroperustemuutoksista johtuvien veromenetysten korvaus]]+Yhteenveto[[#This Row],[Kotikuntakorvaus, netto (ei päivitetty)]]</f>
        <v>2083532.1602051789</v>
      </c>
      <c r="S128" s="11"/>
      <c r="T128"/>
    </row>
    <row r="129" spans="1:20" ht="15">
      <c r="A129" s="32">
        <v>408</v>
      </c>
      <c r="B129" s="13" t="s">
        <v>134</v>
      </c>
      <c r="C129" s="15">
        <v>14024</v>
      </c>
      <c r="D129" s="15">
        <v>23454402.25</v>
      </c>
      <c r="E129" s="15">
        <v>2940938.524198221</v>
      </c>
      <c r="F129" s="231">
        <f>Yhteenveto[[#This Row],[Ikärakenne, laskennallinen kustannus]]+Yhteenveto[[#This Row],[Muut laskennalliset kustannukset ]]</f>
        <v>26395340.774198219</v>
      </c>
      <c r="G129" s="508">
        <v>1422.47</v>
      </c>
      <c r="H129" s="17">
        <v>19948719.280000001</v>
      </c>
      <c r="I129" s="339">
        <f>Yhteenveto[[#This Row],[Laskennalliset kustannukset yhteensä]]-Yhteenveto[[#This Row],[Omarahoitusosuus, €]]</f>
        <v>6446621.494198218</v>
      </c>
      <c r="J129" s="33">
        <v>424473.13861733151</v>
      </c>
      <c r="K129" s="34">
        <v>-400465.24075104459</v>
      </c>
      <c r="L129" s="231">
        <f>Yhteenveto[[#This Row],[Valtionosuus omarahoitusosuuden jälkeen (välisumma)]]+Yhteenveto[[#This Row],[Lisäosat yhteensä]]+Yhteenveto[[#This Row],[Valtionosuuteen tehtävät vähennykset ja lisäykset, netto]]</f>
        <v>6470629.3920645043</v>
      </c>
      <c r="M129" s="34">
        <v>6033808.8166742185</v>
      </c>
      <c r="N129" s="303">
        <f>SUM(Yhteenveto[[#This Row],[Valtionosuus ennen verotuloihin perustuvaa valtionosuuden tasausta]]+Yhteenveto[[#This Row],[Verotuloihin perustuva valtionosuuden tasaus]])</f>
        <v>12504438.208738722</v>
      </c>
      <c r="O129" s="241">
        <v>1552571.5213750363</v>
      </c>
      <c r="P129" s="372">
        <f>SUM(Yhteenveto[[#This Row],[Kunnan  peruspalvelujen valtionosuus ]:[Veroperustemuutoksista johtuvien veromenetysten korvaus]])</f>
        <v>14057009.730113758</v>
      </c>
      <c r="Q129" s="34">
        <v>-19319.45749999996</v>
      </c>
      <c r="R129" s="341">
        <f>+Yhteenveto[[#This Row],[Kunnan  peruspalvelujen valtionosuus ]]+Yhteenveto[[#This Row],[Veroperustemuutoksista johtuvien veromenetysten korvaus]]+Yhteenveto[[#This Row],[Kotikuntakorvaus, netto (ei päivitetty)]]</f>
        <v>14037690.272613758</v>
      </c>
      <c r="S129" s="11"/>
      <c r="T129"/>
    </row>
    <row r="130" spans="1:20" ht="15">
      <c r="A130" s="32">
        <v>410</v>
      </c>
      <c r="B130" s="13" t="s">
        <v>135</v>
      </c>
      <c r="C130" s="15">
        <v>18762</v>
      </c>
      <c r="D130" s="15">
        <v>39029086.850000001</v>
      </c>
      <c r="E130" s="15">
        <v>3808347.8229225143</v>
      </c>
      <c r="F130" s="231">
        <f>Yhteenveto[[#This Row],[Ikärakenne, laskennallinen kustannus]]+Yhteenveto[[#This Row],[Muut laskennalliset kustannukset ]]</f>
        <v>42837434.672922514</v>
      </c>
      <c r="G130" s="508">
        <v>1422.47</v>
      </c>
      <c r="H130" s="17">
        <v>26688382.140000001</v>
      </c>
      <c r="I130" s="339">
        <f>Yhteenveto[[#This Row],[Laskennalliset kustannukset yhteensä]]-Yhteenveto[[#This Row],[Omarahoitusosuus, €]]</f>
        <v>16149052.532922514</v>
      </c>
      <c r="J130" s="33">
        <v>518918.0563682926</v>
      </c>
      <c r="K130" s="34">
        <v>-7624729.2565869093</v>
      </c>
      <c r="L130" s="231">
        <f>Yhteenveto[[#This Row],[Valtionosuus omarahoitusosuuden jälkeen (välisumma)]]+Yhteenveto[[#This Row],[Lisäosat yhteensä]]+Yhteenveto[[#This Row],[Valtionosuuteen tehtävät vähennykset ja lisäykset, netto]]</f>
        <v>9043241.3327038977</v>
      </c>
      <c r="M130" s="34">
        <v>8183766.3882464143</v>
      </c>
      <c r="N130" s="303">
        <f>SUM(Yhteenveto[[#This Row],[Valtionosuus ennen verotuloihin perustuvaa valtionosuuden tasausta]]+Yhteenveto[[#This Row],[Verotuloihin perustuva valtionosuuden tasaus]])</f>
        <v>17227007.720950313</v>
      </c>
      <c r="O130" s="241">
        <v>1172841.9415278588</v>
      </c>
      <c r="P130" s="372">
        <f>SUM(Yhteenveto[[#This Row],[Kunnan  peruspalvelujen valtionosuus ]:[Veroperustemuutoksista johtuvien veromenetysten korvaus]])</f>
        <v>18399849.662478171</v>
      </c>
      <c r="Q130" s="34">
        <v>237835.20254999999</v>
      </c>
      <c r="R130" s="341">
        <f>+Yhteenveto[[#This Row],[Kunnan  peruspalvelujen valtionosuus ]]+Yhteenveto[[#This Row],[Veroperustemuutoksista johtuvien veromenetysten korvaus]]+Yhteenveto[[#This Row],[Kotikuntakorvaus, netto (ei päivitetty)]]</f>
        <v>18637684.865028173</v>
      </c>
      <c r="S130" s="11"/>
      <c r="T130"/>
    </row>
    <row r="131" spans="1:20" ht="15">
      <c r="A131" s="32">
        <v>416</v>
      </c>
      <c r="B131" s="13" t="s">
        <v>136</v>
      </c>
      <c r="C131" s="15">
        <v>2862</v>
      </c>
      <c r="D131" s="15">
        <v>4749601.49</v>
      </c>
      <c r="E131" s="15">
        <v>639638.63680052909</v>
      </c>
      <c r="F131" s="231">
        <f>Yhteenveto[[#This Row],[Ikärakenne, laskennallinen kustannus]]+Yhteenveto[[#This Row],[Muut laskennalliset kustannukset ]]</f>
        <v>5389240.1268005297</v>
      </c>
      <c r="G131" s="508">
        <v>1422.47</v>
      </c>
      <c r="H131" s="17">
        <v>4071109.14</v>
      </c>
      <c r="I131" s="339">
        <f>Yhteenveto[[#This Row],[Laskennalliset kustannukset yhteensä]]-Yhteenveto[[#This Row],[Omarahoitusosuus, €]]</f>
        <v>1318130.9868005295</v>
      </c>
      <c r="J131" s="33">
        <v>67596.998242346745</v>
      </c>
      <c r="K131" s="34">
        <v>-891201.71584508114</v>
      </c>
      <c r="L131" s="231">
        <f>Yhteenveto[[#This Row],[Valtionosuus omarahoitusosuuden jälkeen (välisumma)]]+Yhteenveto[[#This Row],[Lisäosat yhteensä]]+Yhteenveto[[#This Row],[Valtionosuuteen tehtävät vähennykset ja lisäykset, netto]]</f>
        <v>494526.26919779519</v>
      </c>
      <c r="M131" s="34">
        <v>1480031.7741589991</v>
      </c>
      <c r="N131" s="303">
        <f>SUM(Yhteenveto[[#This Row],[Valtionosuus ennen verotuloihin perustuvaa valtionosuuden tasausta]]+Yhteenveto[[#This Row],[Verotuloihin perustuva valtionosuuden tasaus]])</f>
        <v>1974558.0433567944</v>
      </c>
      <c r="O131" s="241">
        <v>280044.18764142448</v>
      </c>
      <c r="P131" s="372">
        <f>SUM(Yhteenveto[[#This Row],[Kunnan  peruspalvelujen valtionosuus ]:[Veroperustemuutoksista johtuvien veromenetysten korvaus]])</f>
        <v>2254602.230998219</v>
      </c>
      <c r="Q131" s="34">
        <v>26256.559999999998</v>
      </c>
      <c r="R131" s="341">
        <f>+Yhteenveto[[#This Row],[Kunnan  peruspalvelujen valtionosuus ]]+Yhteenveto[[#This Row],[Veroperustemuutoksista johtuvien veromenetysten korvaus]]+Yhteenveto[[#This Row],[Kotikuntakorvaus, netto (ei päivitetty)]]</f>
        <v>2280858.790998219</v>
      </c>
      <c r="S131" s="11"/>
      <c r="T131"/>
    </row>
    <row r="132" spans="1:20" ht="15">
      <c r="A132" s="32">
        <v>418</v>
      </c>
      <c r="B132" s="13" t="s">
        <v>137</v>
      </c>
      <c r="C132" s="15">
        <v>24711</v>
      </c>
      <c r="D132" s="15">
        <v>50178893.5</v>
      </c>
      <c r="E132" s="15">
        <v>3983088.8053299864</v>
      </c>
      <c r="F132" s="231">
        <f>Yhteenveto[[#This Row],[Ikärakenne, laskennallinen kustannus]]+Yhteenveto[[#This Row],[Muut laskennalliset kustannukset ]]</f>
        <v>54161982.305329986</v>
      </c>
      <c r="G132" s="508">
        <v>1422.47</v>
      </c>
      <c r="H132" s="17">
        <v>35150656.170000002</v>
      </c>
      <c r="I132" s="339">
        <f>Yhteenveto[[#This Row],[Laskennalliset kustannukset yhteensä]]-Yhteenveto[[#This Row],[Omarahoitusosuus, €]]</f>
        <v>19011326.135329984</v>
      </c>
      <c r="J132" s="33">
        <v>1094355.6098122704</v>
      </c>
      <c r="K132" s="34">
        <v>-2046150.7544705218</v>
      </c>
      <c r="L132" s="231">
        <f>Yhteenveto[[#This Row],[Valtionosuus omarahoitusosuuden jälkeen (välisumma)]]+Yhteenveto[[#This Row],[Lisäosat yhteensä]]+Yhteenveto[[#This Row],[Valtionosuuteen tehtävät vähennykset ja lisäykset, netto]]</f>
        <v>18059530.990671732</v>
      </c>
      <c r="M132" s="34">
        <v>1508087.4240715723</v>
      </c>
      <c r="N132" s="303">
        <f>SUM(Yhteenveto[[#This Row],[Valtionosuus ennen verotuloihin perustuvaa valtionosuuden tasausta]]+Yhteenveto[[#This Row],[Verotuloihin perustuva valtionosuuden tasaus]])</f>
        <v>19567618.414743304</v>
      </c>
      <c r="O132" s="241">
        <v>1279631.8749458625</v>
      </c>
      <c r="P132" s="372">
        <f>SUM(Yhteenveto[[#This Row],[Kunnan  peruspalvelujen valtionosuus ]:[Veroperustemuutoksista johtuvien veromenetysten korvaus]])</f>
        <v>20847250.289689168</v>
      </c>
      <c r="Q132" s="34">
        <v>-522724.84594999999</v>
      </c>
      <c r="R132" s="341">
        <f>+Yhteenveto[[#This Row],[Kunnan  peruspalvelujen valtionosuus ]]+Yhteenveto[[#This Row],[Veroperustemuutoksista johtuvien veromenetysten korvaus]]+Yhteenveto[[#This Row],[Kotikuntakorvaus, netto (ei päivitetty)]]</f>
        <v>20324525.443739168</v>
      </c>
      <c r="S132" s="11"/>
      <c r="T132"/>
    </row>
    <row r="133" spans="1:20" ht="15">
      <c r="A133" s="32">
        <v>420</v>
      </c>
      <c r="B133" s="36" t="s">
        <v>138</v>
      </c>
      <c r="C133" s="15">
        <v>9049</v>
      </c>
      <c r="D133" s="15">
        <v>12124031.23</v>
      </c>
      <c r="E133" s="15">
        <v>2396110.3725541965</v>
      </c>
      <c r="F133" s="231">
        <f>Yhteenveto[[#This Row],[Ikärakenne, laskennallinen kustannus]]+Yhteenveto[[#This Row],[Muut laskennalliset kustannukset ]]</f>
        <v>14520141.602554196</v>
      </c>
      <c r="G133" s="508">
        <v>1422.47</v>
      </c>
      <c r="H133" s="17">
        <v>12871931.029999999</v>
      </c>
      <c r="I133" s="339">
        <f>Yhteenveto[[#This Row],[Laskennalliset kustannukset yhteensä]]-Yhteenveto[[#This Row],[Omarahoitusosuus, €]]</f>
        <v>1648210.5725541972</v>
      </c>
      <c r="J133" s="33">
        <v>273395.76912782283</v>
      </c>
      <c r="K133" s="34">
        <v>237091.67944383505</v>
      </c>
      <c r="L133" s="231">
        <f>Yhteenveto[[#This Row],[Valtionosuus omarahoitusosuuden jälkeen (välisumma)]]+Yhteenveto[[#This Row],[Lisäosat yhteensä]]+Yhteenveto[[#This Row],[Valtionosuuteen tehtävät vähennykset ja lisäykset, netto]]</f>
        <v>2158698.0211258549</v>
      </c>
      <c r="M133" s="34">
        <v>2920430.5949711595</v>
      </c>
      <c r="N133" s="303">
        <f>SUM(Yhteenveto[[#This Row],[Valtionosuus ennen verotuloihin perustuvaa valtionosuuden tasausta]]+Yhteenveto[[#This Row],[Verotuloihin perustuva valtionosuuden tasaus]])</f>
        <v>5079128.6160970144</v>
      </c>
      <c r="O133" s="241">
        <v>1118786.7974107102</v>
      </c>
      <c r="P133" s="372">
        <f>SUM(Yhteenveto[[#This Row],[Kunnan  peruspalvelujen valtionosuus ]:[Veroperustemuutoksista johtuvien veromenetysten korvaus]])</f>
        <v>6197915.4135077242</v>
      </c>
      <c r="Q133" s="34">
        <v>-133162.53100000005</v>
      </c>
      <c r="R133" s="341">
        <f>+Yhteenveto[[#This Row],[Kunnan  peruspalvelujen valtionosuus ]]+Yhteenveto[[#This Row],[Veroperustemuutoksista johtuvien veromenetysten korvaus]]+Yhteenveto[[#This Row],[Kotikuntakorvaus, netto (ei päivitetty)]]</f>
        <v>6064752.8825077238</v>
      </c>
      <c r="S133" s="11"/>
      <c r="T133"/>
    </row>
    <row r="134" spans="1:20" ht="15">
      <c r="A134" s="32">
        <v>421</v>
      </c>
      <c r="B134" s="13" t="s">
        <v>139</v>
      </c>
      <c r="C134" s="15">
        <v>682</v>
      </c>
      <c r="D134" s="15">
        <v>1099919.94</v>
      </c>
      <c r="E134" s="15">
        <v>450600.42026157241</v>
      </c>
      <c r="F134" s="231">
        <f>Yhteenveto[[#This Row],[Ikärakenne, laskennallinen kustannus]]+Yhteenveto[[#This Row],[Muut laskennalliset kustannukset ]]</f>
        <v>1550520.3602615723</v>
      </c>
      <c r="G134" s="508">
        <v>1422.47</v>
      </c>
      <c r="H134" s="17">
        <v>970124.54</v>
      </c>
      <c r="I134" s="339">
        <f>Yhteenveto[[#This Row],[Laskennalliset kustannukset yhteensä]]-Yhteenveto[[#This Row],[Omarahoitusosuus, €]]</f>
        <v>580395.82026157225</v>
      </c>
      <c r="J134" s="33">
        <v>225453.56953241598</v>
      </c>
      <c r="K134" s="34">
        <v>398914.62707988976</v>
      </c>
      <c r="L134" s="231">
        <f>Yhteenveto[[#This Row],[Valtionosuus omarahoitusosuuden jälkeen (välisumma)]]+Yhteenveto[[#This Row],[Lisäosat yhteensä]]+Yhteenveto[[#This Row],[Valtionosuuteen tehtävät vähennykset ja lisäykset, netto]]</f>
        <v>1204764.016873878</v>
      </c>
      <c r="M134" s="34">
        <v>195157.16372395409</v>
      </c>
      <c r="N134" s="303">
        <f>SUM(Yhteenveto[[#This Row],[Valtionosuus ennen verotuloihin perustuvaa valtionosuuden tasausta]]+Yhteenveto[[#This Row],[Verotuloihin perustuva valtionosuuden tasaus]])</f>
        <v>1399921.180597832</v>
      </c>
      <c r="O134" s="241">
        <v>128611.47662920679</v>
      </c>
      <c r="P134" s="372">
        <f>SUM(Yhteenveto[[#This Row],[Kunnan  peruspalvelujen valtionosuus ]:[Veroperustemuutoksista johtuvien veromenetysten korvaus]])</f>
        <v>1528532.6572270389</v>
      </c>
      <c r="Q134" s="34">
        <v>0</v>
      </c>
      <c r="R134" s="341">
        <f>+Yhteenveto[[#This Row],[Kunnan  peruspalvelujen valtionosuus ]]+Yhteenveto[[#This Row],[Veroperustemuutoksista johtuvien veromenetysten korvaus]]+Yhteenveto[[#This Row],[Kotikuntakorvaus, netto (ei päivitetty)]]</f>
        <v>1528532.6572270389</v>
      </c>
      <c r="S134" s="11"/>
      <c r="T134"/>
    </row>
    <row r="135" spans="1:20" ht="15">
      <c r="A135" s="32">
        <v>422</v>
      </c>
      <c r="B135" s="13" t="s">
        <v>140</v>
      </c>
      <c r="C135" s="15">
        <v>10228</v>
      </c>
      <c r="D135" s="15">
        <v>10088551.629999999</v>
      </c>
      <c r="E135" s="15">
        <v>6075354.0619216934</v>
      </c>
      <c r="F135" s="231">
        <f>Yhteenveto[[#This Row],[Ikärakenne, laskennallinen kustannus]]+Yhteenveto[[#This Row],[Muut laskennalliset kustannukset ]]</f>
        <v>16163905.691921692</v>
      </c>
      <c r="G135" s="508">
        <v>1422.47</v>
      </c>
      <c r="H135" s="17">
        <v>14549023.16</v>
      </c>
      <c r="I135" s="339">
        <f>Yhteenveto[[#This Row],[Laskennalliset kustannukset yhteensä]]-Yhteenveto[[#This Row],[Omarahoitusosuus, €]]</f>
        <v>1614882.5319216922</v>
      </c>
      <c r="J135" s="33">
        <v>1508514.4711349613</v>
      </c>
      <c r="K135" s="34">
        <v>-615207.4284974942</v>
      </c>
      <c r="L135" s="231">
        <f>Yhteenveto[[#This Row],[Valtionosuus omarahoitusosuuden jälkeen (välisumma)]]+Yhteenveto[[#This Row],[Lisäosat yhteensä]]+Yhteenveto[[#This Row],[Valtionosuuteen tehtävät vähennykset ja lisäykset, netto]]</f>
        <v>2508189.5745591596</v>
      </c>
      <c r="M135" s="34">
        <v>3984216.1370590851</v>
      </c>
      <c r="N135" s="303">
        <f>SUM(Yhteenveto[[#This Row],[Valtionosuus ennen verotuloihin perustuvaa valtionosuuden tasausta]]+Yhteenveto[[#This Row],[Verotuloihin perustuva valtionosuuden tasaus]])</f>
        <v>6492405.7116182446</v>
      </c>
      <c r="O135" s="241">
        <v>1570438.5367014387</v>
      </c>
      <c r="P135" s="372">
        <f>SUM(Yhteenveto[[#This Row],[Kunnan  peruspalvelujen valtionosuus ]:[Veroperustemuutoksista johtuvien veromenetysten korvaus]])</f>
        <v>8062844.2483196836</v>
      </c>
      <c r="Q135" s="34">
        <v>137414.30349999998</v>
      </c>
      <c r="R135" s="341">
        <f>+Yhteenveto[[#This Row],[Kunnan  peruspalvelujen valtionosuus ]]+Yhteenveto[[#This Row],[Veroperustemuutoksista johtuvien veromenetysten korvaus]]+Yhteenveto[[#This Row],[Kotikuntakorvaus, netto (ei päivitetty)]]</f>
        <v>8200258.551819684</v>
      </c>
      <c r="S135" s="11"/>
      <c r="T135"/>
    </row>
    <row r="136" spans="1:20" ht="15">
      <c r="A136" s="32">
        <v>423</v>
      </c>
      <c r="B136" s="13" t="s">
        <v>141</v>
      </c>
      <c r="C136" s="15">
        <v>20637</v>
      </c>
      <c r="D136" s="15">
        <v>38209009.670000002</v>
      </c>
      <c r="E136" s="15">
        <v>3589883.0732382457</v>
      </c>
      <c r="F136" s="231">
        <f>Yhteenveto[[#This Row],[Ikärakenne, laskennallinen kustannus]]+Yhteenveto[[#This Row],[Muut laskennalliset kustannukset ]]</f>
        <v>41798892.743238248</v>
      </c>
      <c r="G136" s="508">
        <v>1422.47</v>
      </c>
      <c r="H136" s="17">
        <v>29355513.390000001</v>
      </c>
      <c r="I136" s="339">
        <f>Yhteenveto[[#This Row],[Laskennalliset kustannukset yhteensä]]-Yhteenveto[[#This Row],[Omarahoitusosuus, €]]</f>
        <v>12443379.353238247</v>
      </c>
      <c r="J136" s="33">
        <v>785731.81387093919</v>
      </c>
      <c r="K136" s="34">
        <v>1595954.9239818621</v>
      </c>
      <c r="L136" s="231">
        <f>Yhteenveto[[#This Row],[Valtionosuus omarahoitusosuuden jälkeen (välisumma)]]+Yhteenveto[[#This Row],[Lisäosat yhteensä]]+Yhteenveto[[#This Row],[Valtionosuuteen tehtävät vähennykset ja lisäykset, netto]]</f>
        <v>14825066.091091048</v>
      </c>
      <c r="M136" s="34">
        <v>2867964.4017629833</v>
      </c>
      <c r="N136" s="303">
        <f>SUM(Yhteenveto[[#This Row],[Valtionosuus ennen verotuloihin perustuvaa valtionosuuden tasausta]]+Yhteenveto[[#This Row],[Verotuloihin perustuva valtionosuuden tasaus]])</f>
        <v>17693030.492854033</v>
      </c>
      <c r="O136" s="241">
        <v>1454703.2804786349</v>
      </c>
      <c r="P136" s="372">
        <f>SUM(Yhteenveto[[#This Row],[Kunnan  peruspalvelujen valtionosuus ]:[Veroperustemuutoksista johtuvien veromenetysten korvaus]])</f>
        <v>19147733.773332667</v>
      </c>
      <c r="Q136" s="34">
        <v>-730633.53750000021</v>
      </c>
      <c r="R136" s="341">
        <f>+Yhteenveto[[#This Row],[Kunnan  peruspalvelujen valtionosuus ]]+Yhteenveto[[#This Row],[Veroperustemuutoksista johtuvien veromenetysten korvaus]]+Yhteenveto[[#This Row],[Kotikuntakorvaus, netto (ei päivitetty)]]</f>
        <v>18417100.235832665</v>
      </c>
      <c r="S136" s="11"/>
      <c r="T136"/>
    </row>
    <row r="137" spans="1:20" ht="15">
      <c r="A137" s="32">
        <v>425</v>
      </c>
      <c r="B137" s="13" t="s">
        <v>142</v>
      </c>
      <c r="C137" s="15">
        <v>10256</v>
      </c>
      <c r="D137" s="15">
        <v>29254239.489999998</v>
      </c>
      <c r="E137" s="15">
        <v>1597399.0913146483</v>
      </c>
      <c r="F137" s="231">
        <f>Yhteenveto[[#This Row],[Ikärakenne, laskennallinen kustannus]]+Yhteenveto[[#This Row],[Muut laskennalliset kustannukset ]]</f>
        <v>30851638.581314646</v>
      </c>
      <c r="G137" s="508">
        <v>1422.47</v>
      </c>
      <c r="H137" s="17">
        <v>14588852.32</v>
      </c>
      <c r="I137" s="339">
        <f>Yhteenveto[[#This Row],[Laskennalliset kustannukset yhteensä]]-Yhteenveto[[#This Row],[Omarahoitusosuus, €]]</f>
        <v>16262786.261314645</v>
      </c>
      <c r="J137" s="33">
        <v>318463.5662042785</v>
      </c>
      <c r="K137" s="34">
        <v>-2584024.5049365619</v>
      </c>
      <c r="L137" s="231">
        <f>Yhteenveto[[#This Row],[Valtionosuus omarahoitusosuuden jälkeen (välisumma)]]+Yhteenveto[[#This Row],[Lisäosat yhteensä]]+Yhteenveto[[#This Row],[Valtionosuuteen tehtävät vähennykset ja lisäykset, netto]]</f>
        <v>13997225.32258236</v>
      </c>
      <c r="M137" s="34">
        <v>5620116.2776946146</v>
      </c>
      <c r="N137" s="303">
        <f>SUM(Yhteenveto[[#This Row],[Valtionosuus ennen verotuloihin perustuvaa valtionosuuden tasausta]]+Yhteenveto[[#This Row],[Verotuloihin perustuva valtionosuuden tasaus]])</f>
        <v>19617341.600276977</v>
      </c>
      <c r="O137" s="241">
        <v>479741.33685331338</v>
      </c>
      <c r="P137" s="372">
        <f>SUM(Yhteenveto[[#This Row],[Kunnan  peruspalvelujen valtionosuus ]:[Veroperustemuutoksista johtuvien veromenetysten korvaus]])</f>
        <v>20097082.937130291</v>
      </c>
      <c r="Q137" s="34">
        <v>-12139.183449999982</v>
      </c>
      <c r="R137" s="341">
        <f>+Yhteenveto[[#This Row],[Kunnan  peruspalvelujen valtionosuus ]]+Yhteenveto[[#This Row],[Veroperustemuutoksista johtuvien veromenetysten korvaus]]+Yhteenveto[[#This Row],[Kotikuntakorvaus, netto (ei päivitetty)]]</f>
        <v>20084943.753680293</v>
      </c>
      <c r="S137" s="11"/>
      <c r="T137"/>
    </row>
    <row r="138" spans="1:20" ht="15">
      <c r="A138" s="32">
        <v>426</v>
      </c>
      <c r="B138" s="13" t="s">
        <v>143</v>
      </c>
      <c r="C138" s="15">
        <v>11969</v>
      </c>
      <c r="D138" s="15">
        <v>20717678.450000003</v>
      </c>
      <c r="E138" s="15">
        <v>2933206.0404465431</v>
      </c>
      <c r="F138" s="231">
        <f>Yhteenveto[[#This Row],[Ikärakenne, laskennallinen kustannus]]+Yhteenveto[[#This Row],[Muut laskennalliset kustannukset ]]</f>
        <v>23650884.490446545</v>
      </c>
      <c r="G138" s="508">
        <v>1422.47</v>
      </c>
      <c r="H138" s="17">
        <v>17025543.43</v>
      </c>
      <c r="I138" s="339">
        <f>Yhteenveto[[#This Row],[Laskennalliset kustannukset yhteensä]]-Yhteenveto[[#This Row],[Omarahoitusosuus, €]]</f>
        <v>6625341.0604465455</v>
      </c>
      <c r="J138" s="33">
        <v>341876.05752823479</v>
      </c>
      <c r="K138" s="34">
        <v>-3317298.6949689304</v>
      </c>
      <c r="L138" s="231">
        <f>Yhteenveto[[#This Row],[Valtionosuus omarahoitusosuuden jälkeen (välisumma)]]+Yhteenveto[[#This Row],[Lisäosat yhteensä]]+Yhteenveto[[#This Row],[Valtionosuuteen tehtävät vähennykset ja lisäykset, netto]]</f>
        <v>3649918.4230058501</v>
      </c>
      <c r="M138" s="34">
        <v>5904444.5205847183</v>
      </c>
      <c r="N138" s="303">
        <f>SUM(Yhteenveto[[#This Row],[Valtionosuus ennen verotuloihin perustuvaa valtionosuuden tasausta]]+Yhteenveto[[#This Row],[Verotuloihin perustuva valtionosuuden tasaus]])</f>
        <v>9554362.9435905684</v>
      </c>
      <c r="O138" s="241">
        <v>1221789.2529694829</v>
      </c>
      <c r="P138" s="372">
        <f>SUM(Yhteenveto[[#This Row],[Kunnan  peruspalvelujen valtionosuus ]:[Veroperustemuutoksista johtuvien veromenetysten korvaus]])</f>
        <v>10776152.196560051</v>
      </c>
      <c r="Q138" s="34">
        <v>-755156.56780000008</v>
      </c>
      <c r="R138" s="341">
        <f>+Yhteenveto[[#This Row],[Kunnan  peruspalvelujen valtionosuus ]]+Yhteenveto[[#This Row],[Veroperustemuutoksista johtuvien veromenetysten korvaus]]+Yhteenveto[[#This Row],[Kotikuntakorvaus, netto (ei päivitetty)]]</f>
        <v>10020995.628760051</v>
      </c>
      <c r="S138" s="11"/>
      <c r="T138"/>
    </row>
    <row r="139" spans="1:20" ht="15">
      <c r="A139" s="32">
        <v>430</v>
      </c>
      <c r="B139" s="13" t="s">
        <v>144</v>
      </c>
      <c r="C139" s="15">
        <v>15420</v>
      </c>
      <c r="D139" s="15">
        <v>20671397.190000001</v>
      </c>
      <c r="E139" s="15">
        <v>4377769.9336571535</v>
      </c>
      <c r="F139" s="231">
        <f>Yhteenveto[[#This Row],[Ikärakenne, laskennallinen kustannus]]+Yhteenveto[[#This Row],[Muut laskennalliset kustannukset ]]</f>
        <v>25049167.123657156</v>
      </c>
      <c r="G139" s="508">
        <v>1422.47</v>
      </c>
      <c r="H139" s="17">
        <v>21934487.400000002</v>
      </c>
      <c r="I139" s="339">
        <f>Yhteenveto[[#This Row],[Laskennalliset kustannukset yhteensä]]-Yhteenveto[[#This Row],[Omarahoitusosuus, €]]</f>
        <v>3114679.7236571535</v>
      </c>
      <c r="J139" s="33">
        <v>527742.22240727802</v>
      </c>
      <c r="K139" s="34">
        <v>438188.31242934975</v>
      </c>
      <c r="L139" s="231">
        <f>Yhteenveto[[#This Row],[Valtionosuus omarahoitusosuuden jälkeen (välisumma)]]+Yhteenveto[[#This Row],[Lisäosat yhteensä]]+Yhteenveto[[#This Row],[Valtionosuuteen tehtävät vähennykset ja lisäykset, netto]]</f>
        <v>4080610.2584937816</v>
      </c>
      <c r="M139" s="34">
        <v>6307327.0627483409</v>
      </c>
      <c r="N139" s="303">
        <f>SUM(Yhteenveto[[#This Row],[Valtionosuus ennen verotuloihin perustuvaa valtionosuuden tasausta]]+Yhteenveto[[#This Row],[Verotuloihin perustuva valtionosuuden tasaus]])</f>
        <v>10387937.321242122</v>
      </c>
      <c r="O139" s="241">
        <v>2317743.5383133944</v>
      </c>
      <c r="P139" s="372">
        <f>SUM(Yhteenveto[[#This Row],[Kunnan  peruspalvelujen valtionosuus ]:[Veroperustemuutoksista johtuvien veromenetysten korvaus]])</f>
        <v>12705680.859555516</v>
      </c>
      <c r="Q139" s="34">
        <v>47649.689000000013</v>
      </c>
      <c r="R139" s="341">
        <f>+Yhteenveto[[#This Row],[Kunnan  peruspalvelujen valtionosuus ]]+Yhteenveto[[#This Row],[Veroperustemuutoksista johtuvien veromenetysten korvaus]]+Yhteenveto[[#This Row],[Kotikuntakorvaus, netto (ei päivitetty)]]</f>
        <v>12753330.548555516</v>
      </c>
      <c r="S139" s="11"/>
      <c r="T139"/>
    </row>
    <row r="140" spans="1:20" ht="15">
      <c r="A140" s="32">
        <v>433</v>
      </c>
      <c r="B140" s="13" t="s">
        <v>145</v>
      </c>
      <c r="C140" s="15">
        <v>7692</v>
      </c>
      <c r="D140" s="15">
        <v>11813463.380000001</v>
      </c>
      <c r="E140" s="15">
        <v>1658239.3230016986</v>
      </c>
      <c r="F140" s="231">
        <f>Yhteenveto[[#This Row],[Ikärakenne, laskennallinen kustannus]]+Yhteenveto[[#This Row],[Muut laskennalliset kustannukset ]]</f>
        <v>13471702.7030017</v>
      </c>
      <c r="G140" s="508">
        <v>1422.47</v>
      </c>
      <c r="H140" s="17">
        <v>10941639.24</v>
      </c>
      <c r="I140" s="339">
        <f>Yhteenveto[[#This Row],[Laskennalliset kustannukset yhteensä]]-Yhteenveto[[#This Row],[Omarahoitusosuus, €]]</f>
        <v>2530063.4630017001</v>
      </c>
      <c r="J140" s="33">
        <v>189771.38327417808</v>
      </c>
      <c r="K140" s="34">
        <v>-489963.8442717889</v>
      </c>
      <c r="L140" s="231">
        <f>Yhteenveto[[#This Row],[Valtionosuus omarahoitusosuuden jälkeen (välisumma)]]+Yhteenveto[[#This Row],[Lisäosat yhteensä]]+Yhteenveto[[#This Row],[Valtionosuuteen tehtävät vähennykset ja lisäykset, netto]]</f>
        <v>2229871.0020040893</v>
      </c>
      <c r="M140" s="34">
        <v>2373727.9837529473</v>
      </c>
      <c r="N140" s="303">
        <f>SUM(Yhteenveto[[#This Row],[Valtionosuus ennen verotuloihin perustuvaa valtionosuuden tasausta]]+Yhteenveto[[#This Row],[Verotuloihin perustuva valtionosuuden tasaus]])</f>
        <v>4603598.9857570361</v>
      </c>
      <c r="O140" s="241">
        <v>860525.1241260455</v>
      </c>
      <c r="P140" s="372">
        <f>SUM(Yhteenveto[[#This Row],[Kunnan  peruspalvelujen valtionosuus ]:[Veroperustemuutoksista johtuvien veromenetysten korvaus]])</f>
        <v>5464124.1098830812</v>
      </c>
      <c r="Q140" s="34">
        <v>7533.8424999999988</v>
      </c>
      <c r="R140" s="341">
        <f>+Yhteenveto[[#This Row],[Kunnan  peruspalvelujen valtionosuus ]]+Yhteenveto[[#This Row],[Veroperustemuutoksista johtuvien veromenetysten korvaus]]+Yhteenveto[[#This Row],[Kotikuntakorvaus, netto (ei päivitetty)]]</f>
        <v>5471657.9523830814</v>
      </c>
      <c r="S140" s="11"/>
      <c r="T140"/>
    </row>
    <row r="141" spans="1:20" ht="15">
      <c r="A141" s="32">
        <v>434</v>
      </c>
      <c r="B141" s="13" t="s">
        <v>146</v>
      </c>
      <c r="C141" s="15">
        <v>14458</v>
      </c>
      <c r="D141" s="15">
        <v>18909621.59</v>
      </c>
      <c r="E141" s="15">
        <v>6371556.0288792644</v>
      </c>
      <c r="F141" s="231">
        <f>Yhteenveto[[#This Row],[Ikärakenne, laskennallinen kustannus]]+Yhteenveto[[#This Row],[Muut laskennalliset kustannukset ]]</f>
        <v>25281177.618879266</v>
      </c>
      <c r="G141" s="508">
        <v>1422.47</v>
      </c>
      <c r="H141" s="17">
        <v>20566071.260000002</v>
      </c>
      <c r="I141" s="339">
        <f>Yhteenveto[[#This Row],[Laskennalliset kustannukset yhteensä]]-Yhteenveto[[#This Row],[Omarahoitusosuus, €]]</f>
        <v>4715106.3588792644</v>
      </c>
      <c r="J141" s="33">
        <v>402296.35467463324</v>
      </c>
      <c r="K141" s="34">
        <v>2029873.8584147729</v>
      </c>
      <c r="L141" s="231">
        <f>Yhteenveto[[#This Row],[Valtionosuus omarahoitusosuuden jälkeen (välisumma)]]+Yhteenveto[[#This Row],[Lisäosat yhteensä]]+Yhteenveto[[#This Row],[Valtionosuuteen tehtävät vähennykset ja lisäykset, netto]]</f>
        <v>7147276.5719686709</v>
      </c>
      <c r="M141" s="34">
        <v>-50438.445623544067</v>
      </c>
      <c r="N141" s="303">
        <f>SUM(Yhteenveto[[#This Row],[Valtionosuus ennen verotuloihin perustuvaa valtionosuuden tasausta]]+Yhteenveto[[#This Row],[Verotuloihin perustuva valtionosuuden tasaus]])</f>
        <v>7096838.1263451269</v>
      </c>
      <c r="O141" s="241">
        <v>1795695.2126412101</v>
      </c>
      <c r="P141" s="372">
        <f>SUM(Yhteenveto[[#This Row],[Kunnan  peruspalvelujen valtionosuus ]:[Veroperustemuutoksista johtuvien veromenetysten korvaus]])</f>
        <v>8892533.3389863372</v>
      </c>
      <c r="Q141" s="34">
        <v>906850.85950000002</v>
      </c>
      <c r="R141" s="341">
        <f>+Yhteenveto[[#This Row],[Kunnan  peruspalvelujen valtionosuus ]]+Yhteenveto[[#This Row],[Veroperustemuutoksista johtuvien veromenetysten korvaus]]+Yhteenveto[[#This Row],[Kotikuntakorvaus, netto (ei päivitetty)]]</f>
        <v>9799384.1984863374</v>
      </c>
      <c r="S141" s="11"/>
      <c r="T141"/>
    </row>
    <row r="142" spans="1:20" ht="15">
      <c r="A142" s="32">
        <v>435</v>
      </c>
      <c r="B142" s="13" t="s">
        <v>147</v>
      </c>
      <c r="C142" s="15">
        <v>702</v>
      </c>
      <c r="D142" s="15">
        <v>643545.47</v>
      </c>
      <c r="E142" s="15">
        <v>377437.43108205666</v>
      </c>
      <c r="F142" s="231">
        <f>Yhteenveto[[#This Row],[Ikärakenne, laskennallinen kustannus]]+Yhteenveto[[#This Row],[Muut laskennalliset kustannukset ]]</f>
        <v>1020982.9010820566</v>
      </c>
      <c r="G142" s="508">
        <v>1422.47</v>
      </c>
      <c r="H142" s="17">
        <v>998573.94000000006</v>
      </c>
      <c r="I142" s="339">
        <f>Yhteenveto[[#This Row],[Laskennalliset kustannukset yhteensä]]-Yhteenveto[[#This Row],[Omarahoitusosuus, €]]</f>
        <v>22408.961082056514</v>
      </c>
      <c r="J142" s="33">
        <v>221137.83720996263</v>
      </c>
      <c r="K142" s="34">
        <v>727144.18610501452</v>
      </c>
      <c r="L142" s="231">
        <f>Yhteenveto[[#This Row],[Valtionosuus omarahoitusosuuden jälkeen (välisumma)]]+Yhteenveto[[#This Row],[Lisäosat yhteensä]]+Yhteenveto[[#This Row],[Valtionosuuteen tehtävät vähennykset ja lisäykset, netto]]</f>
        <v>970690.9843970337</v>
      </c>
      <c r="M142" s="34">
        <v>98638.24856067395</v>
      </c>
      <c r="N142" s="303">
        <f>SUM(Yhteenveto[[#This Row],[Valtionosuus ennen verotuloihin perustuvaa valtionosuuden tasausta]]+Yhteenveto[[#This Row],[Verotuloihin perustuva valtionosuuden tasaus]])</f>
        <v>1069329.2329577077</v>
      </c>
      <c r="O142" s="241">
        <v>126199.77769872021</v>
      </c>
      <c r="P142" s="372">
        <f>SUM(Yhteenveto[[#This Row],[Kunnan  peruspalvelujen valtionosuus ]:[Veroperustemuutoksista johtuvien veromenetysten korvaus]])</f>
        <v>1195529.0106564278</v>
      </c>
      <c r="Q142" s="34">
        <v>-59599.407500000016</v>
      </c>
      <c r="R142" s="341">
        <f>+Yhteenveto[[#This Row],[Kunnan  peruspalvelujen valtionosuus ]]+Yhteenveto[[#This Row],[Veroperustemuutoksista johtuvien veromenetysten korvaus]]+Yhteenveto[[#This Row],[Kotikuntakorvaus, netto (ei päivitetty)]]</f>
        <v>1135929.6031564279</v>
      </c>
      <c r="S142" s="11"/>
      <c r="T142"/>
    </row>
    <row r="143" spans="1:20" ht="15">
      <c r="A143" s="32">
        <v>436</v>
      </c>
      <c r="B143" s="13" t="s">
        <v>148</v>
      </c>
      <c r="C143" s="15">
        <v>2033</v>
      </c>
      <c r="D143" s="15">
        <v>4804138.84</v>
      </c>
      <c r="E143" s="15">
        <v>567995.70349656255</v>
      </c>
      <c r="F143" s="231">
        <f>Yhteenveto[[#This Row],[Ikärakenne, laskennallinen kustannus]]+Yhteenveto[[#This Row],[Muut laskennalliset kustannukset ]]</f>
        <v>5372134.5434965622</v>
      </c>
      <c r="G143" s="508">
        <v>1422.47</v>
      </c>
      <c r="H143" s="17">
        <v>2891881.5100000002</v>
      </c>
      <c r="I143" s="339">
        <f>Yhteenveto[[#This Row],[Laskennalliset kustannukset yhteensä]]-Yhteenveto[[#This Row],[Omarahoitusosuus, €]]</f>
        <v>2480253.0334965619</v>
      </c>
      <c r="J143" s="33">
        <v>58990.475013642827</v>
      </c>
      <c r="K143" s="34">
        <v>-440559.95863216481</v>
      </c>
      <c r="L143" s="231">
        <f>Yhteenveto[[#This Row],[Valtionosuus omarahoitusosuuden jälkeen (välisumma)]]+Yhteenveto[[#This Row],[Lisäosat yhteensä]]+Yhteenveto[[#This Row],[Valtionosuuteen tehtävät vähennykset ja lisäykset, netto]]</f>
        <v>2098683.5498780403</v>
      </c>
      <c r="M143" s="34">
        <v>1480517.4368859227</v>
      </c>
      <c r="N143" s="303">
        <f>SUM(Yhteenveto[[#This Row],[Valtionosuus ennen verotuloihin perustuvaa valtionosuuden tasausta]]+Yhteenveto[[#This Row],[Verotuloihin perustuva valtionosuuden tasaus]])</f>
        <v>3579200.986763963</v>
      </c>
      <c r="O143" s="241">
        <v>195678.75402191078</v>
      </c>
      <c r="P143" s="372">
        <f>SUM(Yhteenveto[[#This Row],[Kunnan  peruspalvelujen valtionosuus ]:[Veroperustemuutoksista johtuvien veromenetysten korvaus]])</f>
        <v>3774879.740785874</v>
      </c>
      <c r="Q143" s="34">
        <v>-10696.564499999993</v>
      </c>
      <c r="R143" s="341">
        <f>+Yhteenveto[[#This Row],[Kunnan  peruspalvelujen valtionosuus ]]+Yhteenveto[[#This Row],[Veroperustemuutoksista johtuvien veromenetysten korvaus]]+Yhteenveto[[#This Row],[Kotikuntakorvaus, netto (ei päivitetty)]]</f>
        <v>3764183.1762858741</v>
      </c>
      <c r="S143" s="11"/>
      <c r="T143"/>
    </row>
    <row r="144" spans="1:20" ht="15">
      <c r="A144" s="32">
        <v>440</v>
      </c>
      <c r="B144" s="13" t="s">
        <v>149</v>
      </c>
      <c r="C144" s="15">
        <v>5843</v>
      </c>
      <c r="D144" s="15">
        <v>16157580.229999999</v>
      </c>
      <c r="E144" s="15">
        <v>2928031.6136111389</v>
      </c>
      <c r="F144" s="231">
        <f>Yhteenveto[[#This Row],[Ikärakenne, laskennallinen kustannus]]+Yhteenveto[[#This Row],[Muut laskennalliset kustannukset ]]</f>
        <v>19085611.843611136</v>
      </c>
      <c r="G144" s="508">
        <v>1422.47</v>
      </c>
      <c r="H144" s="17">
        <v>8311492.21</v>
      </c>
      <c r="I144" s="339">
        <f>Yhteenveto[[#This Row],[Laskennalliset kustannukset yhteensä]]-Yhteenveto[[#This Row],[Omarahoitusosuus, €]]</f>
        <v>10774119.633611135</v>
      </c>
      <c r="J144" s="33">
        <v>273023.84356290218</v>
      </c>
      <c r="K144" s="34">
        <v>-2636448.6647343151</v>
      </c>
      <c r="L144" s="231">
        <f>Yhteenveto[[#This Row],[Valtionosuus omarahoitusosuuden jälkeen (välisumma)]]+Yhteenveto[[#This Row],[Lisäosat yhteensä]]+Yhteenveto[[#This Row],[Valtionosuuteen tehtävät vähennykset ja lisäykset, netto]]</f>
        <v>8410694.8124397229</v>
      </c>
      <c r="M144" s="34">
        <v>3245105.8295146744</v>
      </c>
      <c r="N144" s="303">
        <f>SUM(Yhteenveto[[#This Row],[Valtionosuus ennen verotuloihin perustuvaa valtionosuuden tasausta]]+Yhteenveto[[#This Row],[Verotuloihin perustuva valtionosuuden tasaus]])</f>
        <v>11655800.641954398</v>
      </c>
      <c r="O144" s="241">
        <v>399429.90274802013</v>
      </c>
      <c r="P144" s="372">
        <f>SUM(Yhteenveto[[#This Row],[Kunnan  peruspalvelujen valtionosuus ]:[Veroperustemuutoksista johtuvien veromenetysten korvaus]])</f>
        <v>12055230.544702418</v>
      </c>
      <c r="Q144" s="34">
        <v>-64149.549999999974</v>
      </c>
      <c r="R144" s="341">
        <f>+Yhteenveto[[#This Row],[Kunnan  peruspalvelujen valtionosuus ]]+Yhteenveto[[#This Row],[Veroperustemuutoksista johtuvien veromenetysten korvaus]]+Yhteenveto[[#This Row],[Kotikuntakorvaus, netto (ei päivitetty)]]</f>
        <v>11991080.994702417</v>
      </c>
      <c r="S144" s="11"/>
      <c r="T144"/>
    </row>
    <row r="145" spans="1:20" ht="15">
      <c r="A145" s="32">
        <v>441</v>
      </c>
      <c r="B145" s="13" t="s">
        <v>150</v>
      </c>
      <c r="C145" s="15">
        <v>4396</v>
      </c>
      <c r="D145" s="15">
        <v>5267114.0999999996</v>
      </c>
      <c r="E145" s="15">
        <v>1617606.459036344</v>
      </c>
      <c r="F145" s="231">
        <f>Yhteenveto[[#This Row],[Ikärakenne, laskennallinen kustannus]]+Yhteenveto[[#This Row],[Muut laskennalliset kustannukset ]]</f>
        <v>6884720.5590363434</v>
      </c>
      <c r="G145" s="508">
        <v>1422.47</v>
      </c>
      <c r="H145" s="17">
        <v>6253178.1200000001</v>
      </c>
      <c r="I145" s="339">
        <f>Yhteenveto[[#This Row],[Laskennalliset kustannukset yhteensä]]-Yhteenveto[[#This Row],[Omarahoitusosuus, €]]</f>
        <v>631542.43903634325</v>
      </c>
      <c r="J145" s="33">
        <v>314592.77742253611</v>
      </c>
      <c r="K145" s="34">
        <v>-1129105.3524712287</v>
      </c>
      <c r="L145" s="231">
        <f>Yhteenveto[[#This Row],[Valtionosuus omarahoitusosuuden jälkeen (välisumma)]]+Yhteenveto[[#This Row],[Lisäosat yhteensä]]+Yhteenveto[[#This Row],[Valtionosuuteen tehtävät vähennykset ja lisäykset, netto]]</f>
        <v>-182970.13601234928</v>
      </c>
      <c r="M145" s="34">
        <v>1090365.1437414656</v>
      </c>
      <c r="N145" s="303">
        <f>SUM(Yhteenveto[[#This Row],[Valtionosuus ennen verotuloihin perustuvaa valtionosuuden tasausta]]+Yhteenveto[[#This Row],[Verotuloihin perustuva valtionosuuden tasaus]])</f>
        <v>907395.00772911636</v>
      </c>
      <c r="O145" s="241">
        <v>617660.44231957174</v>
      </c>
      <c r="P145" s="372">
        <f>SUM(Yhteenveto[[#This Row],[Kunnan  peruspalvelujen valtionosuus ]:[Veroperustemuutoksista johtuvien veromenetysten korvaus]])</f>
        <v>1525055.4500486881</v>
      </c>
      <c r="Q145" s="34">
        <v>-93195.869500000001</v>
      </c>
      <c r="R145" s="341">
        <f>+Yhteenveto[[#This Row],[Kunnan  peruspalvelujen valtionosuus ]]+Yhteenveto[[#This Row],[Veroperustemuutoksista johtuvien veromenetysten korvaus]]+Yhteenveto[[#This Row],[Kotikuntakorvaus, netto (ei päivitetty)]]</f>
        <v>1431859.5805486881</v>
      </c>
      <c r="S145" s="11"/>
      <c r="T145"/>
    </row>
    <row r="146" spans="1:20" ht="15">
      <c r="A146" s="32">
        <v>444</v>
      </c>
      <c r="B146" s="13" t="s">
        <v>151</v>
      </c>
      <c r="C146" s="15">
        <v>45645</v>
      </c>
      <c r="D146" s="15">
        <v>68149192.340000004</v>
      </c>
      <c r="E146" s="15">
        <v>13997351.037443329</v>
      </c>
      <c r="F146" s="231">
        <f>Yhteenveto[[#This Row],[Ikärakenne, laskennallinen kustannus]]+Yhteenveto[[#This Row],[Muut laskennalliset kustannukset ]]</f>
        <v>82146543.377443328</v>
      </c>
      <c r="G146" s="508">
        <v>1422.47</v>
      </c>
      <c r="H146" s="17">
        <v>64928643.149999999</v>
      </c>
      <c r="I146" s="339">
        <f>Yhteenveto[[#This Row],[Laskennalliset kustannukset yhteensä]]-Yhteenveto[[#This Row],[Omarahoitusosuus, €]]</f>
        <v>17217900.22744333</v>
      </c>
      <c r="J146" s="33">
        <v>1304212.7688054524</v>
      </c>
      <c r="K146" s="34">
        <v>909099.13748206873</v>
      </c>
      <c r="L146" s="231">
        <f>Yhteenveto[[#This Row],[Valtionosuus omarahoitusosuuden jälkeen (välisumma)]]+Yhteenveto[[#This Row],[Lisäosat yhteensä]]+Yhteenveto[[#This Row],[Valtionosuuteen tehtävät vähennykset ja lisäykset, netto]]</f>
        <v>19431212.133730851</v>
      </c>
      <c r="M146" s="34">
        <v>5124017.9692165293</v>
      </c>
      <c r="N146" s="303">
        <f>SUM(Yhteenveto[[#This Row],[Valtionosuus ennen verotuloihin perustuvaa valtionosuuden tasausta]]+Yhteenveto[[#This Row],[Verotuloihin perustuva valtionosuuden tasaus]])</f>
        <v>24555230.10294738</v>
      </c>
      <c r="O146" s="241">
        <v>4398648.7779741678</v>
      </c>
      <c r="P146" s="372">
        <f>SUM(Yhteenveto[[#This Row],[Kunnan  peruspalvelujen valtionosuus ]:[Veroperustemuutoksista johtuvien veromenetysten korvaus]])</f>
        <v>28953878.88092155</v>
      </c>
      <c r="Q146" s="34">
        <v>2399045.4768499997</v>
      </c>
      <c r="R146" s="341">
        <f>+Yhteenveto[[#This Row],[Kunnan  peruspalvelujen valtionosuus ]]+Yhteenveto[[#This Row],[Veroperustemuutoksista johtuvien veromenetysten korvaus]]+Yhteenveto[[#This Row],[Kotikuntakorvaus, netto (ei päivitetty)]]</f>
        <v>31352924.357771549</v>
      </c>
      <c r="S146" s="11"/>
      <c r="T146"/>
    </row>
    <row r="147" spans="1:20" ht="15">
      <c r="A147" s="32">
        <v>445</v>
      </c>
      <c r="B147" s="13" t="s">
        <v>152</v>
      </c>
      <c r="C147" s="15">
        <v>14999</v>
      </c>
      <c r="D147" s="15">
        <v>22039456.77</v>
      </c>
      <c r="E147" s="15">
        <v>11909164.440677002</v>
      </c>
      <c r="F147" s="231">
        <f>Yhteenveto[[#This Row],[Ikärakenne, laskennallinen kustannus]]+Yhteenveto[[#This Row],[Muut laskennalliset kustannukset ]]</f>
        <v>33948621.210676998</v>
      </c>
      <c r="G147" s="508">
        <v>1422.47</v>
      </c>
      <c r="H147" s="17">
        <v>21335627.530000001</v>
      </c>
      <c r="I147" s="339">
        <f>Yhteenveto[[#This Row],[Laskennalliset kustannukset yhteensä]]-Yhteenveto[[#This Row],[Omarahoitusosuus, €]]</f>
        <v>12612993.680676997</v>
      </c>
      <c r="J147" s="33">
        <v>437898.81454712525</v>
      </c>
      <c r="K147" s="34">
        <v>-6428078.0934454696</v>
      </c>
      <c r="L147" s="231">
        <f>Yhteenveto[[#This Row],[Valtionosuus omarahoitusosuuden jälkeen (välisumma)]]+Yhteenveto[[#This Row],[Lisäosat yhteensä]]+Yhteenveto[[#This Row],[Valtionosuuteen tehtävät vähennykset ja lisäykset, netto]]</f>
        <v>6622814.4017786523</v>
      </c>
      <c r="M147" s="34">
        <v>443153.33299664233</v>
      </c>
      <c r="N147" s="303">
        <f>SUM(Yhteenveto[[#This Row],[Valtionosuus ennen verotuloihin perustuvaa valtionosuuden tasausta]]+Yhteenveto[[#This Row],[Verotuloihin perustuva valtionosuuden tasaus]])</f>
        <v>7065967.7347752945</v>
      </c>
      <c r="O147" s="241">
        <v>1518109.8731856579</v>
      </c>
      <c r="P147" s="372">
        <f>SUM(Yhteenveto[[#This Row],[Kunnan  peruspalvelujen valtionosuus ]:[Veroperustemuutoksista johtuvien veromenetysten korvaus]])</f>
        <v>8584077.6079609524</v>
      </c>
      <c r="Q147" s="34">
        <v>126255.26549999995</v>
      </c>
      <c r="R147" s="341">
        <f>+Yhteenveto[[#This Row],[Kunnan  peruspalvelujen valtionosuus ]]+Yhteenveto[[#This Row],[Veroperustemuutoksista johtuvien veromenetysten korvaus]]+Yhteenveto[[#This Row],[Kotikuntakorvaus, netto (ei päivitetty)]]</f>
        <v>8710332.8734609522</v>
      </c>
      <c r="S147" s="11"/>
      <c r="T147"/>
    </row>
    <row r="148" spans="1:20" ht="15">
      <c r="A148" s="32">
        <v>475</v>
      </c>
      <c r="B148" s="13" t="s">
        <v>153</v>
      </c>
      <c r="C148" s="15">
        <v>5456</v>
      </c>
      <c r="D148" s="15">
        <v>8654819.4600000009</v>
      </c>
      <c r="E148" s="15">
        <v>4921631.0684181917</v>
      </c>
      <c r="F148" s="231">
        <f>Yhteenveto[[#This Row],[Ikärakenne, laskennallinen kustannus]]+Yhteenveto[[#This Row],[Muut laskennalliset kustannukset ]]</f>
        <v>13576450.528418193</v>
      </c>
      <c r="G148" s="508">
        <v>1422.47</v>
      </c>
      <c r="H148" s="17">
        <v>7760996.3200000003</v>
      </c>
      <c r="I148" s="339">
        <f>Yhteenveto[[#This Row],[Laskennalliset kustannukset yhteensä]]-Yhteenveto[[#This Row],[Omarahoitusosuus, €]]</f>
        <v>5815454.2084181923</v>
      </c>
      <c r="J148" s="33">
        <v>196218.10654838494</v>
      </c>
      <c r="K148" s="34">
        <v>-2658675.779118557</v>
      </c>
      <c r="L148" s="231">
        <f>Yhteenveto[[#This Row],[Valtionosuus omarahoitusosuuden jälkeen (välisumma)]]+Yhteenveto[[#This Row],[Lisäosat yhteensä]]+Yhteenveto[[#This Row],[Valtionosuuteen tehtävät vähennykset ja lisäykset, netto]]</f>
        <v>3352996.5358480201</v>
      </c>
      <c r="M148" s="34">
        <v>1666114.3140079158</v>
      </c>
      <c r="N148" s="303">
        <f>SUM(Yhteenveto[[#This Row],[Valtionosuus ennen verotuloihin perustuvaa valtionosuuden tasausta]]+Yhteenveto[[#This Row],[Verotuloihin perustuva valtionosuuden tasaus]])</f>
        <v>5019110.8498559361</v>
      </c>
      <c r="O148" s="241">
        <v>687978.32826860063</v>
      </c>
      <c r="P148" s="372">
        <f>SUM(Yhteenveto[[#This Row],[Kunnan  peruspalvelujen valtionosuus ]:[Veroperustemuutoksista johtuvien veromenetysten korvaus]])</f>
        <v>5707089.1781245368</v>
      </c>
      <c r="Q148" s="34">
        <v>725352.38850000012</v>
      </c>
      <c r="R148" s="341">
        <f>+Yhteenveto[[#This Row],[Kunnan  peruspalvelujen valtionosuus ]]+Yhteenveto[[#This Row],[Veroperustemuutoksista johtuvien veromenetysten korvaus]]+Yhteenveto[[#This Row],[Kotikuntakorvaus, netto (ei päivitetty)]]</f>
        <v>6432441.5666245371</v>
      </c>
      <c r="S148" s="11"/>
      <c r="T148"/>
    </row>
    <row r="149" spans="1:20" ht="15">
      <c r="A149" s="32">
        <v>480</v>
      </c>
      <c r="B149" s="13" t="s">
        <v>154</v>
      </c>
      <c r="C149" s="15">
        <v>1930</v>
      </c>
      <c r="D149" s="15">
        <v>3003836.27</v>
      </c>
      <c r="E149" s="15">
        <v>497693.85235301103</v>
      </c>
      <c r="F149" s="231">
        <f>Yhteenveto[[#This Row],[Ikärakenne, laskennallinen kustannus]]+Yhteenveto[[#This Row],[Muut laskennalliset kustannukset ]]</f>
        <v>3501530.1223530108</v>
      </c>
      <c r="G149" s="508">
        <v>1422.47</v>
      </c>
      <c r="H149" s="17">
        <v>2745367.1</v>
      </c>
      <c r="I149" s="339">
        <f>Yhteenveto[[#This Row],[Laskennalliset kustannukset yhteensä]]-Yhteenveto[[#This Row],[Omarahoitusosuus, €]]</f>
        <v>756163.02235301072</v>
      </c>
      <c r="J149" s="33">
        <v>45205.318888865389</v>
      </c>
      <c r="K149" s="34">
        <v>11385.246172075029</v>
      </c>
      <c r="L149" s="231">
        <f>Yhteenveto[[#This Row],[Valtionosuus omarahoitusosuuden jälkeen (välisumma)]]+Yhteenveto[[#This Row],[Lisäosat yhteensä]]+Yhteenveto[[#This Row],[Valtionosuuteen tehtävät vähennykset ja lisäykset, netto]]</f>
        <v>812753.58741395117</v>
      </c>
      <c r="M149" s="34">
        <v>1084001.4921303792</v>
      </c>
      <c r="N149" s="303">
        <f>SUM(Yhteenveto[[#This Row],[Valtionosuus ennen verotuloihin perustuvaa valtionosuuden tasausta]]+Yhteenveto[[#This Row],[Verotuloihin perustuva valtionosuuden tasaus]])</f>
        <v>1896755.0795443305</v>
      </c>
      <c r="O149" s="241">
        <v>298973.38469650026</v>
      </c>
      <c r="P149" s="372">
        <f>SUM(Yhteenveto[[#This Row],[Kunnan  peruspalvelujen valtionosuus ]:[Veroperustemuutoksista johtuvien veromenetysten korvaus]])</f>
        <v>2195728.4642408309</v>
      </c>
      <c r="Q149" s="34">
        <v>-792172.35000000021</v>
      </c>
      <c r="R149" s="341">
        <f>+Yhteenveto[[#This Row],[Kunnan  peruspalvelujen valtionosuus ]]+Yhteenveto[[#This Row],[Veroperustemuutoksista johtuvien veromenetysten korvaus]]+Yhteenveto[[#This Row],[Kotikuntakorvaus, netto (ei päivitetty)]]</f>
        <v>1403556.1142408308</v>
      </c>
      <c r="S149" s="11"/>
      <c r="T149"/>
    </row>
    <row r="150" spans="1:20" ht="15">
      <c r="A150" s="32">
        <v>481</v>
      </c>
      <c r="B150" s="13" t="s">
        <v>155</v>
      </c>
      <c r="C150" s="15">
        <v>9619</v>
      </c>
      <c r="D150" s="15">
        <v>17958581.080000002</v>
      </c>
      <c r="E150" s="15">
        <v>1357482.4893803466</v>
      </c>
      <c r="F150" s="231">
        <f>Yhteenveto[[#This Row],[Ikärakenne, laskennallinen kustannus]]+Yhteenveto[[#This Row],[Muut laskennalliset kustannukset ]]</f>
        <v>19316063.56938035</v>
      </c>
      <c r="G150" s="508">
        <v>1422.47</v>
      </c>
      <c r="H150" s="17">
        <v>13682738.93</v>
      </c>
      <c r="I150" s="339">
        <f>Yhteenveto[[#This Row],[Laskennalliset kustannukset yhteensä]]-Yhteenveto[[#This Row],[Omarahoitusosuus, €]]</f>
        <v>5633324.6393803507</v>
      </c>
      <c r="J150" s="33">
        <v>297010.23344357929</v>
      </c>
      <c r="K150" s="34">
        <v>-436872.47058524418</v>
      </c>
      <c r="L150" s="231">
        <f>Yhteenveto[[#This Row],[Valtionosuus omarahoitusosuuden jälkeen (välisumma)]]+Yhteenveto[[#This Row],[Lisäosat yhteensä]]+Yhteenveto[[#This Row],[Valtionosuuteen tehtävät vähennykset ja lisäykset, netto]]</f>
        <v>5493462.4022386866</v>
      </c>
      <c r="M150" s="34">
        <v>880734.8428709174</v>
      </c>
      <c r="N150" s="303">
        <f>SUM(Yhteenveto[[#This Row],[Valtionosuus ennen verotuloihin perustuvaa valtionosuuden tasausta]]+Yhteenveto[[#This Row],[Verotuloihin perustuva valtionosuuden tasaus]])</f>
        <v>6374197.2451096037</v>
      </c>
      <c r="O150" s="241">
        <v>577889.89108274272</v>
      </c>
      <c r="P150" s="372">
        <f>SUM(Yhteenveto[[#This Row],[Kunnan  peruspalvelujen valtionosuus ]:[Veroperustemuutoksista johtuvien veromenetysten korvaus]])</f>
        <v>6952087.136192346</v>
      </c>
      <c r="Q150" s="34">
        <v>-228984.05650000001</v>
      </c>
      <c r="R150" s="341">
        <f>+Yhteenveto[[#This Row],[Kunnan  peruspalvelujen valtionosuus ]]+Yhteenveto[[#This Row],[Veroperustemuutoksista johtuvien veromenetysten korvaus]]+Yhteenveto[[#This Row],[Kotikuntakorvaus, netto (ei päivitetty)]]</f>
        <v>6723103.079692346</v>
      </c>
      <c r="S150" s="11"/>
      <c r="T150"/>
    </row>
    <row r="151" spans="1:20" ht="15">
      <c r="A151" s="32">
        <v>483</v>
      </c>
      <c r="B151" s="13" t="s">
        <v>156</v>
      </c>
      <c r="C151" s="15">
        <v>1055</v>
      </c>
      <c r="D151" s="15">
        <v>2419768.02</v>
      </c>
      <c r="E151" s="15">
        <v>325337.07466728729</v>
      </c>
      <c r="F151" s="231">
        <f>Yhteenveto[[#This Row],[Ikärakenne, laskennallinen kustannus]]+Yhteenveto[[#This Row],[Muut laskennalliset kustannukset ]]</f>
        <v>2745105.0946672875</v>
      </c>
      <c r="G151" s="508">
        <v>1422.47</v>
      </c>
      <c r="H151" s="17">
        <v>1500705.85</v>
      </c>
      <c r="I151" s="339">
        <f>Yhteenveto[[#This Row],[Laskennalliset kustannukset yhteensä]]-Yhteenveto[[#This Row],[Omarahoitusosuus, €]]</f>
        <v>1244399.2446672875</v>
      </c>
      <c r="J151" s="33">
        <v>53391.374902636082</v>
      </c>
      <c r="K151" s="34">
        <v>-474773.91824471962</v>
      </c>
      <c r="L151" s="231">
        <f>Yhteenveto[[#This Row],[Valtionosuus omarahoitusosuuden jälkeen (välisumma)]]+Yhteenveto[[#This Row],[Lisäosat yhteensä]]+Yhteenveto[[#This Row],[Valtionosuuteen tehtävät vähennykset ja lisäykset, netto]]</f>
        <v>823016.70132520387</v>
      </c>
      <c r="M151" s="34">
        <v>971909.07856108423</v>
      </c>
      <c r="N151" s="303">
        <f>SUM(Yhteenveto[[#This Row],[Valtionosuus ennen verotuloihin perustuvaa valtionosuuden tasausta]]+Yhteenveto[[#This Row],[Verotuloihin perustuva valtionosuuden tasaus]])</f>
        <v>1794925.7798862881</v>
      </c>
      <c r="O151" s="241">
        <v>165876.09460425531</v>
      </c>
      <c r="P151" s="372">
        <f>SUM(Yhteenveto[[#This Row],[Kunnan  peruspalvelujen valtionosuus ]:[Veroperustemuutoksista johtuvien veromenetysten korvaus]])</f>
        <v>1960801.8744905435</v>
      </c>
      <c r="Q151" s="34">
        <v>58256.742499999993</v>
      </c>
      <c r="R151" s="341">
        <f>+Yhteenveto[[#This Row],[Kunnan  peruspalvelujen valtionosuus ]]+Yhteenveto[[#This Row],[Veroperustemuutoksista johtuvien veromenetysten korvaus]]+Yhteenveto[[#This Row],[Kotikuntakorvaus, netto (ei päivitetty)]]</f>
        <v>2019058.6169905434</v>
      </c>
      <c r="S151" s="11"/>
      <c r="T151"/>
    </row>
    <row r="152" spans="1:20" ht="15">
      <c r="A152" s="32">
        <v>484</v>
      </c>
      <c r="B152" s="13" t="s">
        <v>157</v>
      </c>
      <c r="C152" s="15">
        <v>2966</v>
      </c>
      <c r="D152" s="15">
        <v>4251109.59</v>
      </c>
      <c r="E152" s="15">
        <v>926435.56709706027</v>
      </c>
      <c r="F152" s="231">
        <f>Yhteenveto[[#This Row],[Ikärakenne, laskennallinen kustannus]]+Yhteenveto[[#This Row],[Muut laskennalliset kustannukset ]]</f>
        <v>5177545.1570970602</v>
      </c>
      <c r="G152" s="508">
        <v>1422.47</v>
      </c>
      <c r="H152" s="17">
        <v>4219046.0200000005</v>
      </c>
      <c r="I152" s="339">
        <f>Yhteenveto[[#This Row],[Laskennalliset kustannukset yhteensä]]-Yhteenveto[[#This Row],[Omarahoitusosuus, €]]</f>
        <v>958499.13709705975</v>
      </c>
      <c r="J152" s="33">
        <v>236899.08008026326</v>
      </c>
      <c r="K152" s="34">
        <v>-481089.73773320403</v>
      </c>
      <c r="L152" s="231">
        <f>Yhteenveto[[#This Row],[Valtionosuus omarahoitusosuuden jälkeen (välisumma)]]+Yhteenveto[[#This Row],[Lisäosat yhteensä]]+Yhteenveto[[#This Row],[Valtionosuuteen tehtävät vähennykset ja lisäykset, netto]]</f>
        <v>714308.47944411903</v>
      </c>
      <c r="M152" s="34">
        <v>742395.05897332111</v>
      </c>
      <c r="N152" s="303">
        <f>SUM(Yhteenveto[[#This Row],[Valtionosuus ennen verotuloihin perustuvaa valtionosuuden tasausta]]+Yhteenveto[[#This Row],[Verotuloihin perustuva valtionosuuden tasaus]])</f>
        <v>1456703.5384174401</v>
      </c>
      <c r="O152" s="241">
        <v>454984.05764563032</v>
      </c>
      <c r="P152" s="372">
        <f>SUM(Yhteenveto[[#This Row],[Kunnan  peruspalvelujen valtionosuus ]:[Veroperustemuutoksista johtuvien veromenetysten korvaus]])</f>
        <v>1911687.5960630705</v>
      </c>
      <c r="Q152" s="34">
        <v>128448.28499999997</v>
      </c>
      <c r="R152" s="341">
        <f>+Yhteenveto[[#This Row],[Kunnan  peruspalvelujen valtionosuus ]]+Yhteenveto[[#This Row],[Veroperustemuutoksista johtuvien veromenetysten korvaus]]+Yhteenveto[[#This Row],[Kotikuntakorvaus, netto (ei päivitetty)]]</f>
        <v>2040135.8810630704</v>
      </c>
      <c r="S152" s="11"/>
      <c r="T152"/>
    </row>
    <row r="153" spans="1:20" ht="15">
      <c r="A153" s="32">
        <v>489</v>
      </c>
      <c r="B153" s="13" t="s">
        <v>158</v>
      </c>
      <c r="C153" s="15">
        <v>1752</v>
      </c>
      <c r="D153" s="15">
        <v>1719174</v>
      </c>
      <c r="E153" s="15">
        <v>796997.89369536983</v>
      </c>
      <c r="F153" s="231">
        <f>Yhteenveto[[#This Row],[Ikärakenne, laskennallinen kustannus]]+Yhteenveto[[#This Row],[Muut laskennalliset kustannukset ]]</f>
        <v>2516171.8936953698</v>
      </c>
      <c r="G153" s="508">
        <v>1422.47</v>
      </c>
      <c r="H153" s="17">
        <v>2492167.44</v>
      </c>
      <c r="I153" s="339">
        <f>Yhteenveto[[#This Row],[Laskennalliset kustannukset yhteensä]]-Yhteenveto[[#This Row],[Omarahoitusosuus, €]]</f>
        <v>24004.453695369884</v>
      </c>
      <c r="J153" s="33">
        <v>237519.8232323869</v>
      </c>
      <c r="K153" s="34">
        <v>878145.85313397855</v>
      </c>
      <c r="L153" s="231">
        <f>Yhteenveto[[#This Row],[Valtionosuus omarahoitusosuuden jälkeen (välisumma)]]+Yhteenveto[[#This Row],[Lisäosat yhteensä]]+Yhteenveto[[#This Row],[Valtionosuuteen tehtävät vähennykset ja lisäykset, netto]]</f>
        <v>1139670.1300617354</v>
      </c>
      <c r="M153" s="34">
        <v>802681.78152165911</v>
      </c>
      <c r="N153" s="303">
        <f>SUM(Yhteenveto[[#This Row],[Valtionosuus ennen verotuloihin perustuvaa valtionosuuden tasausta]]+Yhteenveto[[#This Row],[Verotuloihin perustuva valtionosuuden tasaus]])</f>
        <v>1942351.9115833945</v>
      </c>
      <c r="O153" s="241">
        <v>327956.18716787657</v>
      </c>
      <c r="P153" s="372">
        <f>SUM(Yhteenveto[[#This Row],[Kunnan  peruspalvelujen valtionosuus ]:[Veroperustemuutoksista johtuvien veromenetysten korvaus]])</f>
        <v>2270308.0987512711</v>
      </c>
      <c r="Q153" s="34">
        <v>-1234505.875</v>
      </c>
      <c r="R153" s="341">
        <f>+Yhteenveto[[#This Row],[Kunnan  peruspalvelujen valtionosuus ]]+Yhteenveto[[#This Row],[Veroperustemuutoksista johtuvien veromenetysten korvaus]]+Yhteenveto[[#This Row],[Kotikuntakorvaus, netto (ei päivitetty)]]</f>
        <v>1035802.2237512711</v>
      </c>
      <c r="S153" s="11"/>
      <c r="T153"/>
    </row>
    <row r="154" spans="1:20" ht="15">
      <c r="A154" s="32">
        <v>491</v>
      </c>
      <c r="B154" s="13" t="s">
        <v>159</v>
      </c>
      <c r="C154" s="15">
        <v>51919</v>
      </c>
      <c r="D154" s="15">
        <v>70237101.129999995</v>
      </c>
      <c r="E154" s="15">
        <v>15022891.812612735</v>
      </c>
      <c r="F154" s="231">
        <f>Yhteenveto[[#This Row],[Ikärakenne, laskennallinen kustannus]]+Yhteenveto[[#This Row],[Muut laskennalliset kustannukset ]]</f>
        <v>85259992.942612737</v>
      </c>
      <c r="G154" s="508">
        <v>1422.47</v>
      </c>
      <c r="H154" s="17">
        <v>73853219.930000007</v>
      </c>
      <c r="I154" s="339">
        <f>Yhteenveto[[#This Row],[Laskennalliset kustannukset yhteensä]]-Yhteenveto[[#This Row],[Omarahoitusosuus, €]]</f>
        <v>11406773.01261273</v>
      </c>
      <c r="J154" s="33">
        <v>1825304.5910019579</v>
      </c>
      <c r="K154" s="34">
        <v>-19477836.708795566</v>
      </c>
      <c r="L154" s="231">
        <f>Yhteenveto[[#This Row],[Valtionosuus omarahoitusosuuden jälkeen (välisumma)]]+Yhteenveto[[#This Row],[Lisäosat yhteensä]]+Yhteenveto[[#This Row],[Valtionosuuteen tehtävät vähennykset ja lisäykset, netto]]</f>
        <v>-6245759.1051808782</v>
      </c>
      <c r="M154" s="34">
        <v>12283832.249075949</v>
      </c>
      <c r="N154" s="303">
        <f>SUM(Yhteenveto[[#This Row],[Valtionosuus ennen verotuloihin perustuvaa valtionosuuden tasausta]]+Yhteenveto[[#This Row],[Verotuloihin perustuva valtionosuuden tasaus]])</f>
        <v>6038073.143895071</v>
      </c>
      <c r="O154" s="241">
        <v>5117882.0458482504</v>
      </c>
      <c r="P154" s="372">
        <f>SUM(Yhteenveto[[#This Row],[Kunnan  peruspalvelujen valtionosuus ]:[Veroperustemuutoksista johtuvien veromenetysten korvaus]])</f>
        <v>11155955.189743321</v>
      </c>
      <c r="Q154" s="34">
        <v>203891.13950000028</v>
      </c>
      <c r="R154" s="341">
        <f>+Yhteenveto[[#This Row],[Kunnan  peruspalvelujen valtionosuus ]]+Yhteenveto[[#This Row],[Veroperustemuutoksista johtuvien veromenetysten korvaus]]+Yhteenveto[[#This Row],[Kotikuntakorvaus, netto (ei päivitetty)]]</f>
        <v>11359846.329243321</v>
      </c>
      <c r="S154" s="11"/>
      <c r="T154"/>
    </row>
    <row r="155" spans="1:20" ht="15">
      <c r="A155" s="32">
        <v>494</v>
      </c>
      <c r="B155" s="13" t="s">
        <v>160</v>
      </c>
      <c r="C155" s="15">
        <v>8827</v>
      </c>
      <c r="D155" s="15">
        <v>19049161.280000001</v>
      </c>
      <c r="E155" s="15">
        <v>1987890.5219216449</v>
      </c>
      <c r="F155" s="231">
        <f>Yhteenveto[[#This Row],[Ikärakenne, laskennallinen kustannus]]+Yhteenveto[[#This Row],[Muut laskennalliset kustannukset ]]</f>
        <v>21037051.801921647</v>
      </c>
      <c r="G155" s="508">
        <v>1422.47</v>
      </c>
      <c r="H155" s="17">
        <v>12556142.689999999</v>
      </c>
      <c r="I155" s="339">
        <f>Yhteenveto[[#This Row],[Laskennalliset kustannukset yhteensä]]-Yhteenveto[[#This Row],[Omarahoitusosuus, €]]</f>
        <v>8480909.1119216476</v>
      </c>
      <c r="J155" s="33">
        <v>333634.09483426262</v>
      </c>
      <c r="K155" s="34">
        <v>-4312739.9618945634</v>
      </c>
      <c r="L155" s="231">
        <f>Yhteenveto[[#This Row],[Valtionosuus omarahoitusosuuden jälkeen (välisumma)]]+Yhteenveto[[#This Row],[Lisäosat yhteensä]]+Yhteenveto[[#This Row],[Valtionosuuteen tehtävät vähennykset ja lisäykset, netto]]</f>
        <v>4501803.2448613467</v>
      </c>
      <c r="M155" s="34">
        <v>4676835.690993269</v>
      </c>
      <c r="N155" s="303">
        <f>SUM(Yhteenveto[[#This Row],[Valtionosuus ennen verotuloihin perustuvaa valtionosuuden tasausta]]+Yhteenveto[[#This Row],[Verotuloihin perustuva valtionosuuden tasaus]])</f>
        <v>9178638.9358546156</v>
      </c>
      <c r="O155" s="241">
        <v>718615.78400249081</v>
      </c>
      <c r="P155" s="372">
        <f>SUM(Yhteenveto[[#This Row],[Kunnan  peruspalvelujen valtionosuus ]:[Veroperustemuutoksista johtuvien veromenetysten korvaus]])</f>
        <v>9897254.719857106</v>
      </c>
      <c r="Q155" s="34">
        <v>92136.656000000017</v>
      </c>
      <c r="R155" s="341">
        <f>+Yhteenveto[[#This Row],[Kunnan  peruspalvelujen valtionosuus ]]+Yhteenveto[[#This Row],[Veroperustemuutoksista johtuvien veromenetysten korvaus]]+Yhteenveto[[#This Row],[Kotikuntakorvaus, netto (ei päivitetty)]]</f>
        <v>9989391.3758571055</v>
      </c>
      <c r="S155" s="11"/>
      <c r="T155"/>
    </row>
    <row r="156" spans="1:20" ht="15">
      <c r="A156" s="32">
        <v>495</v>
      </c>
      <c r="B156" s="13" t="s">
        <v>161</v>
      </c>
      <c r="C156" s="15">
        <v>1430</v>
      </c>
      <c r="D156" s="15">
        <v>1912124.23</v>
      </c>
      <c r="E156" s="15">
        <v>841869.95482095669</v>
      </c>
      <c r="F156" s="231">
        <f>Yhteenveto[[#This Row],[Ikärakenne, laskennallinen kustannus]]+Yhteenveto[[#This Row],[Muut laskennalliset kustannukset ]]</f>
        <v>2753994.1848209566</v>
      </c>
      <c r="G156" s="508">
        <v>1422.47</v>
      </c>
      <c r="H156" s="17">
        <v>2034132.1</v>
      </c>
      <c r="I156" s="339">
        <f>Yhteenveto[[#This Row],[Laskennalliset kustannukset yhteensä]]-Yhteenveto[[#This Row],[Omarahoitusosuus, €]]</f>
        <v>719862.08482095646</v>
      </c>
      <c r="J156" s="33">
        <v>124030.24583086911</v>
      </c>
      <c r="K156" s="34">
        <v>-88130.905864841581</v>
      </c>
      <c r="L156" s="231">
        <f>Yhteenveto[[#This Row],[Valtionosuus omarahoitusosuuden jälkeen (välisumma)]]+Yhteenveto[[#This Row],[Lisäosat yhteensä]]+Yhteenveto[[#This Row],[Valtionosuuteen tehtävät vähennykset ja lisäykset, netto]]</f>
        <v>755761.42478698399</v>
      </c>
      <c r="M156" s="34">
        <v>497035.35308827518</v>
      </c>
      <c r="N156" s="303">
        <f>SUM(Yhteenveto[[#This Row],[Valtionosuus ennen verotuloihin perustuvaa valtionosuuden tasausta]]+Yhteenveto[[#This Row],[Verotuloihin perustuva valtionosuuden tasaus]])</f>
        <v>1252796.7778752591</v>
      </c>
      <c r="O156" s="241">
        <v>237833.25820892208</v>
      </c>
      <c r="P156" s="372">
        <f>SUM(Yhteenveto[[#This Row],[Kunnan  peruspalvelujen valtionosuus ]:[Veroperustemuutoksista johtuvien veromenetysten korvaus]])</f>
        <v>1490630.0360841812</v>
      </c>
      <c r="Q156" s="34">
        <v>-65119.252500000017</v>
      </c>
      <c r="R156" s="341">
        <f>+Yhteenveto[[#This Row],[Kunnan  peruspalvelujen valtionosuus ]]+Yhteenveto[[#This Row],[Veroperustemuutoksista johtuvien veromenetysten korvaus]]+Yhteenveto[[#This Row],[Kotikuntakorvaus, netto (ei päivitetty)]]</f>
        <v>1425510.7835841812</v>
      </c>
      <c r="S156" s="11"/>
      <c r="T156"/>
    </row>
    <row r="157" spans="1:20" ht="15">
      <c r="A157" s="32">
        <v>498</v>
      </c>
      <c r="B157" s="13" t="s">
        <v>162</v>
      </c>
      <c r="C157" s="15">
        <v>2325</v>
      </c>
      <c r="D157" s="15">
        <v>3507596.54</v>
      </c>
      <c r="E157" s="15">
        <v>1990837.4221647244</v>
      </c>
      <c r="F157" s="231">
        <f>Yhteenveto[[#This Row],[Ikärakenne, laskennallinen kustannus]]+Yhteenveto[[#This Row],[Muut laskennalliset kustannukset ]]</f>
        <v>5498433.9621647242</v>
      </c>
      <c r="G157" s="508">
        <v>1422.47</v>
      </c>
      <c r="H157" s="17">
        <v>3307242.75</v>
      </c>
      <c r="I157" s="339">
        <f>Yhteenveto[[#This Row],[Laskennalliset kustannukset yhteensä]]-Yhteenveto[[#This Row],[Omarahoitusosuus, €]]</f>
        <v>2191191.2121647242</v>
      </c>
      <c r="J157" s="33">
        <v>912788.09749872028</v>
      </c>
      <c r="K157" s="34">
        <v>626575.61183563957</v>
      </c>
      <c r="L157" s="231">
        <f>Yhteenveto[[#This Row],[Valtionosuus omarahoitusosuuden jälkeen (välisumma)]]+Yhteenveto[[#This Row],[Lisäosat yhteensä]]+Yhteenveto[[#This Row],[Valtionosuuteen tehtävät vähennykset ja lisäykset, netto]]</f>
        <v>3730554.9214990842</v>
      </c>
      <c r="M157" s="34">
        <v>207413.43365701317</v>
      </c>
      <c r="N157" s="303">
        <f>SUM(Yhteenveto[[#This Row],[Valtionosuus ennen verotuloihin perustuvaa valtionosuuden tasausta]]+Yhteenveto[[#This Row],[Verotuloihin perustuva valtionosuuden tasaus]])</f>
        <v>3937968.3551560976</v>
      </c>
      <c r="O157" s="241">
        <v>262753.60379059997</v>
      </c>
      <c r="P157" s="372">
        <f>SUM(Yhteenveto[[#This Row],[Kunnan  peruspalvelujen valtionosuus ]:[Veroperustemuutoksista johtuvien veromenetysten korvaus]])</f>
        <v>4200721.9589466974</v>
      </c>
      <c r="Q157" s="34">
        <v>27509.713999999978</v>
      </c>
      <c r="R157" s="341">
        <f>+Yhteenveto[[#This Row],[Kunnan  peruspalvelujen valtionosuus ]]+Yhteenveto[[#This Row],[Veroperustemuutoksista johtuvien veromenetysten korvaus]]+Yhteenveto[[#This Row],[Kotikuntakorvaus, netto (ei päivitetty)]]</f>
        <v>4228231.6729466971</v>
      </c>
      <c r="S157" s="11"/>
      <c r="T157"/>
    </row>
    <row r="158" spans="1:20" ht="15">
      <c r="A158" s="32">
        <v>499</v>
      </c>
      <c r="B158" s="13" t="s">
        <v>163</v>
      </c>
      <c r="C158" s="15">
        <v>19763</v>
      </c>
      <c r="D158" s="15">
        <v>36281981.060000002</v>
      </c>
      <c r="E158" s="15">
        <v>7740331.353557881</v>
      </c>
      <c r="F158" s="231">
        <f>Yhteenveto[[#This Row],[Ikärakenne, laskennallinen kustannus]]+Yhteenveto[[#This Row],[Muut laskennalliset kustannukset ]]</f>
        <v>44022312.413557887</v>
      </c>
      <c r="G158" s="508">
        <v>1422.47</v>
      </c>
      <c r="H158" s="17">
        <v>28112274.609999999</v>
      </c>
      <c r="I158" s="339">
        <f>Yhteenveto[[#This Row],[Laskennalliset kustannukset yhteensä]]-Yhteenveto[[#This Row],[Omarahoitusosuus, €]]</f>
        <v>15910037.803557888</v>
      </c>
      <c r="J158" s="33">
        <v>634808.03872942494</v>
      </c>
      <c r="K158" s="34">
        <v>16841.085845469031</v>
      </c>
      <c r="L158" s="231">
        <f>Yhteenveto[[#This Row],[Valtionosuus omarahoitusosuuden jälkeen (välisumma)]]+Yhteenveto[[#This Row],[Lisäosat yhteensä]]+Yhteenveto[[#This Row],[Valtionosuuteen tehtävät vähennykset ja lisäykset, netto]]</f>
        <v>16561686.928132782</v>
      </c>
      <c r="M158" s="34">
        <v>4363471.4505376443</v>
      </c>
      <c r="N158" s="303">
        <f>SUM(Yhteenveto[[#This Row],[Valtionosuus ennen verotuloihin perustuvaa valtionosuuden tasausta]]+Yhteenveto[[#This Row],[Verotuloihin perustuva valtionosuuden tasaus]])</f>
        <v>20925158.378670424</v>
      </c>
      <c r="O158" s="241">
        <v>1487420.8590001245</v>
      </c>
      <c r="P158" s="372">
        <f>SUM(Yhteenveto[[#This Row],[Kunnan  peruspalvelujen valtionosuus ]:[Veroperustemuutoksista johtuvien veromenetysten korvaus]])</f>
        <v>22412579.237670548</v>
      </c>
      <c r="Q158" s="34">
        <v>395702.76955000032</v>
      </c>
      <c r="R158" s="341">
        <f>+Yhteenveto[[#This Row],[Kunnan  peruspalvelujen valtionosuus ]]+Yhteenveto[[#This Row],[Veroperustemuutoksista johtuvien veromenetysten korvaus]]+Yhteenveto[[#This Row],[Kotikuntakorvaus, netto (ei päivitetty)]]</f>
        <v>22808282.007220548</v>
      </c>
      <c r="S158" s="11"/>
      <c r="T158"/>
    </row>
    <row r="159" spans="1:20" ht="15">
      <c r="A159" s="32">
        <v>500</v>
      </c>
      <c r="B159" s="13" t="s">
        <v>164</v>
      </c>
      <c r="C159" s="15">
        <v>10551</v>
      </c>
      <c r="D159" s="15">
        <v>21206027.710000001</v>
      </c>
      <c r="E159" s="15">
        <v>1628799.7797387065</v>
      </c>
      <c r="F159" s="231">
        <f>Yhteenveto[[#This Row],[Ikärakenne, laskennallinen kustannus]]+Yhteenveto[[#This Row],[Muut laskennalliset kustannukset ]]</f>
        <v>22834827.489738706</v>
      </c>
      <c r="G159" s="508">
        <v>1422.47</v>
      </c>
      <c r="H159" s="17">
        <v>15008480.970000001</v>
      </c>
      <c r="I159" s="339">
        <f>Yhteenveto[[#This Row],[Laskennalliset kustannukset yhteensä]]-Yhteenveto[[#This Row],[Omarahoitusosuus, €]]</f>
        <v>7826346.5197387058</v>
      </c>
      <c r="J159" s="33">
        <v>406083.15321010945</v>
      </c>
      <c r="K159" s="34">
        <v>3361067.5390630537</v>
      </c>
      <c r="L159" s="231">
        <f>Yhteenveto[[#This Row],[Valtionosuus omarahoitusosuuden jälkeen (välisumma)]]+Yhteenveto[[#This Row],[Lisäosat yhteensä]]+Yhteenveto[[#This Row],[Valtionosuuteen tehtävät vähennykset ja lisäykset, netto]]</f>
        <v>11593497.212011868</v>
      </c>
      <c r="M159" s="34">
        <v>982271.63373596419</v>
      </c>
      <c r="N159" s="303">
        <f>SUM(Yhteenveto[[#This Row],[Valtionosuus ennen verotuloihin perustuvaa valtionosuuden tasausta]]+Yhteenveto[[#This Row],[Verotuloihin perustuva valtionosuuden tasaus]])</f>
        <v>12575768.845747832</v>
      </c>
      <c r="O159" s="241">
        <v>504158.56174152566</v>
      </c>
      <c r="P159" s="372">
        <f>SUM(Yhteenveto[[#This Row],[Kunnan  peruspalvelujen valtionosuus ]:[Veroperustemuutoksista johtuvien veromenetysten korvaus]])</f>
        <v>13079927.407489358</v>
      </c>
      <c r="Q159" s="34">
        <v>-223001.73799999995</v>
      </c>
      <c r="R159" s="341">
        <f>+Yhteenveto[[#This Row],[Kunnan  peruspalvelujen valtionosuus ]]+Yhteenveto[[#This Row],[Veroperustemuutoksista johtuvien veromenetysten korvaus]]+Yhteenveto[[#This Row],[Kotikuntakorvaus, netto (ei päivitetty)]]</f>
        <v>12856925.669489358</v>
      </c>
      <c r="S159" s="11"/>
      <c r="T159"/>
    </row>
    <row r="160" spans="1:20" ht="15">
      <c r="A160" s="32">
        <v>503</v>
      </c>
      <c r="B160" s="13" t="s">
        <v>165</v>
      </c>
      <c r="C160" s="15">
        <v>7515</v>
      </c>
      <c r="D160" s="15">
        <v>11268193.75</v>
      </c>
      <c r="E160" s="15">
        <v>1766742.8494799514</v>
      </c>
      <c r="F160" s="231">
        <f>Yhteenveto[[#This Row],[Ikärakenne, laskennallinen kustannus]]+Yhteenveto[[#This Row],[Muut laskennalliset kustannukset ]]</f>
        <v>13034936.599479951</v>
      </c>
      <c r="G160" s="508">
        <v>1422.47</v>
      </c>
      <c r="H160" s="17">
        <v>10689862.050000001</v>
      </c>
      <c r="I160" s="339">
        <f>Yhteenveto[[#This Row],[Laskennalliset kustannukset yhteensä]]-Yhteenveto[[#This Row],[Omarahoitusosuus, €]]</f>
        <v>2345074.5494799502</v>
      </c>
      <c r="J160" s="33">
        <v>210159.05854942254</v>
      </c>
      <c r="K160" s="34">
        <v>-1902780.1169991749</v>
      </c>
      <c r="L160" s="231">
        <f>Yhteenveto[[#This Row],[Valtionosuus omarahoitusosuuden jälkeen (välisumma)]]+Yhteenveto[[#This Row],[Lisäosat yhteensä]]+Yhteenveto[[#This Row],[Valtionosuuteen tehtävät vähennykset ja lisäykset, netto]]</f>
        <v>652453.49103019806</v>
      </c>
      <c r="M160" s="34">
        <v>3073285.6048311447</v>
      </c>
      <c r="N160" s="303">
        <f>SUM(Yhteenveto[[#This Row],[Valtionosuus ennen verotuloihin perustuvaa valtionosuuden tasausta]]+Yhteenveto[[#This Row],[Verotuloihin perustuva valtionosuuden tasaus]])</f>
        <v>3725739.0958613427</v>
      </c>
      <c r="O160" s="241">
        <v>822951.35182979167</v>
      </c>
      <c r="P160" s="372">
        <f>SUM(Yhteenveto[[#This Row],[Kunnan  peruspalvelujen valtionosuus ]:[Veroperustemuutoksista johtuvien veromenetysten korvaus]])</f>
        <v>4548690.4476911342</v>
      </c>
      <c r="Q160" s="34">
        <v>142665.61550000001</v>
      </c>
      <c r="R160" s="341">
        <f>+Yhteenveto[[#This Row],[Kunnan  peruspalvelujen valtionosuus ]]+Yhteenveto[[#This Row],[Veroperustemuutoksista johtuvien veromenetysten korvaus]]+Yhteenveto[[#This Row],[Kotikuntakorvaus, netto (ei päivitetty)]]</f>
        <v>4691356.0631911345</v>
      </c>
      <c r="S160" s="11"/>
      <c r="T160"/>
    </row>
    <row r="161" spans="1:20" ht="15">
      <c r="A161" s="32">
        <v>504</v>
      </c>
      <c r="B161" s="13" t="s">
        <v>166</v>
      </c>
      <c r="C161" s="15">
        <v>1715</v>
      </c>
      <c r="D161" s="15">
        <v>2418803.0900000003</v>
      </c>
      <c r="E161" s="15">
        <v>615258.14158329321</v>
      </c>
      <c r="F161" s="231">
        <f>Yhteenveto[[#This Row],[Ikärakenne, laskennallinen kustannus]]+Yhteenveto[[#This Row],[Muut laskennalliset kustannukset ]]</f>
        <v>3034061.2315832935</v>
      </c>
      <c r="G161" s="508">
        <v>1422.47</v>
      </c>
      <c r="H161" s="17">
        <v>2439536.0500000003</v>
      </c>
      <c r="I161" s="339">
        <f>Yhteenveto[[#This Row],[Laskennalliset kustannukset yhteensä]]-Yhteenveto[[#This Row],[Omarahoitusosuus, €]]</f>
        <v>594525.18158329325</v>
      </c>
      <c r="J161" s="33">
        <v>49346.720741145065</v>
      </c>
      <c r="K161" s="34">
        <v>-781714.06329029333</v>
      </c>
      <c r="L161" s="231">
        <f>Yhteenveto[[#This Row],[Valtionosuus omarahoitusosuuden jälkeen (välisumma)]]+Yhteenveto[[#This Row],[Lisäosat yhteensä]]+Yhteenveto[[#This Row],[Valtionosuuteen tehtävät vähennykset ja lisäykset, netto]]</f>
        <v>-137842.160965855</v>
      </c>
      <c r="M161" s="34">
        <v>894563.79638439883</v>
      </c>
      <c r="N161" s="303">
        <f>SUM(Yhteenveto[[#This Row],[Valtionosuus ennen verotuloihin perustuvaa valtionosuuden tasausta]]+Yhteenveto[[#This Row],[Verotuloihin perustuva valtionosuuden tasaus]])</f>
        <v>756721.63541854382</v>
      </c>
      <c r="O161" s="241">
        <v>240182.1069167275</v>
      </c>
      <c r="P161" s="372">
        <f>SUM(Yhteenveto[[#This Row],[Kunnan  peruspalvelujen valtionosuus ]:[Veroperustemuutoksista johtuvien veromenetysten korvaus]])</f>
        <v>996903.74233527132</v>
      </c>
      <c r="Q161" s="34">
        <v>-847176.85950000014</v>
      </c>
      <c r="R161" s="341">
        <f>+Yhteenveto[[#This Row],[Kunnan  peruspalvelujen valtionosuus ]]+Yhteenveto[[#This Row],[Veroperustemuutoksista johtuvien veromenetysten korvaus]]+Yhteenveto[[#This Row],[Kotikuntakorvaus, netto (ei päivitetty)]]</f>
        <v>149726.88283527119</v>
      </c>
      <c r="S161" s="11"/>
      <c r="T161"/>
    </row>
    <row r="162" spans="1:20" ht="15">
      <c r="A162" s="32">
        <v>505</v>
      </c>
      <c r="B162" s="13" t="s">
        <v>167</v>
      </c>
      <c r="C162" s="15">
        <v>20957</v>
      </c>
      <c r="D162" s="15">
        <v>37949961.589999996</v>
      </c>
      <c r="E162" s="15">
        <v>4804882.6031131549</v>
      </c>
      <c r="F162" s="231">
        <f>Yhteenveto[[#This Row],[Ikärakenne, laskennallinen kustannus]]+Yhteenveto[[#This Row],[Muut laskennalliset kustannukset ]]</f>
        <v>42754844.193113148</v>
      </c>
      <c r="G162" s="508">
        <v>1422.47</v>
      </c>
      <c r="H162" s="17">
        <v>29810703.789999999</v>
      </c>
      <c r="I162" s="339">
        <f>Yhteenveto[[#This Row],[Laskennalliset kustannukset yhteensä]]-Yhteenveto[[#This Row],[Omarahoitusosuus, €]]</f>
        <v>12944140.403113149</v>
      </c>
      <c r="J162" s="33">
        <v>659235.73677920189</v>
      </c>
      <c r="K162" s="34">
        <v>-2804719.6723802248</v>
      </c>
      <c r="L162" s="231">
        <f>Yhteenveto[[#This Row],[Valtionosuus omarahoitusosuuden jälkeen (välisumma)]]+Yhteenveto[[#This Row],[Lisäosat yhteensä]]+Yhteenveto[[#This Row],[Valtionosuuteen tehtävät vähennykset ja lisäykset, netto]]</f>
        <v>10798656.467512127</v>
      </c>
      <c r="M162" s="34">
        <v>3745715.5894375383</v>
      </c>
      <c r="N162" s="303">
        <f>SUM(Yhteenveto[[#This Row],[Valtionosuus ennen verotuloihin perustuvaa valtionosuuden tasausta]]+Yhteenveto[[#This Row],[Verotuloihin perustuva valtionosuuden tasaus]])</f>
        <v>14544372.056949666</v>
      </c>
      <c r="O162" s="241">
        <v>1724493.8645294646</v>
      </c>
      <c r="P162" s="372">
        <f>SUM(Yhteenveto[[#This Row],[Kunnan  peruspalvelujen valtionosuus ]:[Veroperustemuutoksista johtuvien veromenetysten korvaus]])</f>
        <v>16268865.92147913</v>
      </c>
      <c r="Q162" s="34">
        <v>-1811538.5364999999</v>
      </c>
      <c r="R162" s="341">
        <f>+Yhteenveto[[#This Row],[Kunnan  peruspalvelujen valtionosuus ]]+Yhteenveto[[#This Row],[Veroperustemuutoksista johtuvien veromenetysten korvaus]]+Yhteenveto[[#This Row],[Kotikuntakorvaus, netto (ei päivitetty)]]</f>
        <v>14457327.384979131</v>
      </c>
      <c r="S162" s="11"/>
      <c r="T162"/>
    </row>
    <row r="163" spans="1:20" ht="15">
      <c r="A163" s="32">
        <v>507</v>
      </c>
      <c r="B163" s="13" t="s">
        <v>168</v>
      </c>
      <c r="C163" s="15">
        <v>5522</v>
      </c>
      <c r="D163" s="15">
        <v>6273345.1899999995</v>
      </c>
      <c r="E163" s="15">
        <v>2011844.2025323242</v>
      </c>
      <c r="F163" s="231">
        <f>Yhteenveto[[#This Row],[Ikärakenne, laskennallinen kustannus]]+Yhteenveto[[#This Row],[Muut laskennalliset kustannukset ]]</f>
        <v>8285189.3925323235</v>
      </c>
      <c r="G163" s="508">
        <v>1422.47</v>
      </c>
      <c r="H163" s="17">
        <v>7854879.3399999999</v>
      </c>
      <c r="I163" s="339">
        <f>Yhteenveto[[#This Row],[Laskennalliset kustannukset yhteensä]]-Yhteenveto[[#This Row],[Omarahoitusosuus, €]]</f>
        <v>430310.05253232364</v>
      </c>
      <c r="J163" s="33">
        <v>429127.8825643966</v>
      </c>
      <c r="K163" s="34">
        <v>-1088112.7957673594</v>
      </c>
      <c r="L163" s="231">
        <f>Yhteenveto[[#This Row],[Valtionosuus omarahoitusosuuden jälkeen (välisumma)]]+Yhteenveto[[#This Row],[Lisäosat yhteensä]]+Yhteenveto[[#This Row],[Valtionosuuteen tehtävät vähennykset ja lisäykset, netto]]</f>
        <v>-228674.8606706392</v>
      </c>
      <c r="M163" s="34">
        <v>1241299.0672062412</v>
      </c>
      <c r="N163" s="303">
        <f>SUM(Yhteenveto[[#This Row],[Valtionosuus ennen verotuloihin perustuvaa valtionosuuden tasausta]]+Yhteenveto[[#This Row],[Verotuloihin perustuva valtionosuuden tasaus]])</f>
        <v>1012624.206535602</v>
      </c>
      <c r="O163" s="241">
        <v>821482.90152995964</v>
      </c>
      <c r="P163" s="372">
        <f>SUM(Yhteenveto[[#This Row],[Kunnan  peruspalvelujen valtionosuus ]:[Veroperustemuutoksista johtuvien veromenetysten korvaus]])</f>
        <v>1834107.1080655616</v>
      </c>
      <c r="Q163" s="34">
        <v>43696.286500000017</v>
      </c>
      <c r="R163" s="341">
        <f>+Yhteenveto[[#This Row],[Kunnan  peruspalvelujen valtionosuus ]]+Yhteenveto[[#This Row],[Veroperustemuutoksista johtuvien veromenetysten korvaus]]+Yhteenveto[[#This Row],[Kotikuntakorvaus, netto (ei päivitetty)]]</f>
        <v>1877803.3945655616</v>
      </c>
      <c r="S163" s="11"/>
      <c r="T163"/>
    </row>
    <row r="164" spans="1:20" ht="15">
      <c r="A164" s="32">
        <v>508</v>
      </c>
      <c r="B164" s="13" t="s">
        <v>169</v>
      </c>
      <c r="C164" s="15">
        <v>9271</v>
      </c>
      <c r="D164" s="15">
        <v>10704373.819999998</v>
      </c>
      <c r="E164" s="15">
        <v>2414257.2631635945</v>
      </c>
      <c r="F164" s="231">
        <f>Yhteenveto[[#This Row],[Ikärakenne, laskennallinen kustannus]]+Yhteenveto[[#This Row],[Muut laskennalliset kustannukset ]]</f>
        <v>13118631.083163593</v>
      </c>
      <c r="G164" s="508">
        <v>1422.47</v>
      </c>
      <c r="H164" s="17">
        <v>13187719.370000001</v>
      </c>
      <c r="I164" s="339">
        <f>Yhteenveto[[#This Row],[Laskennalliset kustannukset yhteensä]]-Yhteenveto[[#This Row],[Omarahoitusosuus, €]]</f>
        <v>-69088.286836408079</v>
      </c>
      <c r="J164" s="33">
        <v>648119.30629593052</v>
      </c>
      <c r="K164" s="34">
        <v>-1754443.291363497</v>
      </c>
      <c r="L164" s="231">
        <f>Yhteenveto[[#This Row],[Valtionosuus omarahoitusosuuden jälkeen (välisumma)]]+Yhteenveto[[#This Row],[Lisäosat yhteensä]]+Yhteenveto[[#This Row],[Valtionosuuteen tehtävät vähennykset ja lisäykset, netto]]</f>
        <v>-1175412.2719039745</v>
      </c>
      <c r="M164" s="34">
        <v>1973314.6379284426</v>
      </c>
      <c r="N164" s="303">
        <f>SUM(Yhteenveto[[#This Row],[Valtionosuus ennen verotuloihin perustuvaa valtionosuuden tasausta]]+Yhteenveto[[#This Row],[Verotuloihin perustuva valtionosuuden tasaus]])</f>
        <v>797902.36602446809</v>
      </c>
      <c r="O164" s="241">
        <v>1028314.867099897</v>
      </c>
      <c r="P164" s="372">
        <f>SUM(Yhteenveto[[#This Row],[Kunnan  peruspalvelujen valtionosuus ]:[Veroperustemuutoksista johtuvien veromenetysten korvaus]])</f>
        <v>1826217.2331243651</v>
      </c>
      <c r="Q164" s="34">
        <v>111679.89099999997</v>
      </c>
      <c r="R164" s="341">
        <f>+Yhteenveto[[#This Row],[Kunnan  peruspalvelujen valtionosuus ]]+Yhteenveto[[#This Row],[Veroperustemuutoksista johtuvien veromenetysten korvaus]]+Yhteenveto[[#This Row],[Kotikuntakorvaus, netto (ei päivitetty)]]</f>
        <v>1937897.1241243652</v>
      </c>
      <c r="S164" s="11"/>
      <c r="T164"/>
    </row>
    <row r="165" spans="1:20" ht="15">
      <c r="A165" s="32">
        <v>529</v>
      </c>
      <c r="B165" s="13" t="s">
        <v>170</v>
      </c>
      <c r="C165" s="15">
        <v>19999</v>
      </c>
      <c r="D165" s="15">
        <v>29666398.82</v>
      </c>
      <c r="E165" s="15">
        <v>4973849.2705954295</v>
      </c>
      <c r="F165" s="231">
        <f>Yhteenveto[[#This Row],[Ikärakenne, laskennallinen kustannus]]+Yhteenveto[[#This Row],[Muut laskennalliset kustannukset ]]</f>
        <v>34640248.090595432</v>
      </c>
      <c r="G165" s="508">
        <v>1422.47</v>
      </c>
      <c r="H165" s="17">
        <v>28447977.530000001</v>
      </c>
      <c r="I165" s="339">
        <f>Yhteenveto[[#This Row],[Laskennalliset kustannukset yhteensä]]-Yhteenveto[[#This Row],[Omarahoitusosuus, €]]</f>
        <v>6192270.5605954304</v>
      </c>
      <c r="J165" s="33">
        <v>807662.91920016042</v>
      </c>
      <c r="K165" s="34">
        <v>3665735.1471029837</v>
      </c>
      <c r="L165" s="231">
        <f>Yhteenveto[[#This Row],[Valtionosuus omarahoitusosuuden jälkeen (välisumma)]]+Yhteenveto[[#This Row],[Lisäosat yhteensä]]+Yhteenveto[[#This Row],[Valtionosuuteen tehtävät vähennykset ja lisäykset, netto]]</f>
        <v>10665668.626898576</v>
      </c>
      <c r="M165" s="34">
        <v>-563950.33580402005</v>
      </c>
      <c r="N165" s="303">
        <f>SUM(Yhteenveto[[#This Row],[Valtionosuus ennen verotuloihin perustuvaa valtionosuuden tasausta]]+Yhteenveto[[#This Row],[Verotuloihin perustuva valtionosuuden tasaus]])</f>
        <v>10101718.291094556</v>
      </c>
      <c r="O165" s="241">
        <v>1451194.1828255558</v>
      </c>
      <c r="P165" s="372">
        <f>SUM(Yhteenveto[[#This Row],[Kunnan  peruspalvelujen valtionosuus ]:[Veroperustemuutoksista johtuvien veromenetysten korvaus]])</f>
        <v>11552912.473920112</v>
      </c>
      <c r="Q165" s="34">
        <v>-200888.04544999992</v>
      </c>
      <c r="R165" s="341">
        <f>+Yhteenveto[[#This Row],[Kunnan  peruspalvelujen valtionosuus ]]+Yhteenveto[[#This Row],[Veroperustemuutoksista johtuvien veromenetysten korvaus]]+Yhteenveto[[#This Row],[Kotikuntakorvaus, netto (ei päivitetty)]]</f>
        <v>11352024.428470112</v>
      </c>
      <c r="S165" s="11"/>
      <c r="T165"/>
    </row>
    <row r="166" spans="1:20" ht="15">
      <c r="A166" s="32">
        <v>531</v>
      </c>
      <c r="B166" s="13" t="s">
        <v>171</v>
      </c>
      <c r="C166" s="15">
        <v>4966</v>
      </c>
      <c r="D166" s="15">
        <v>6967957.0799999991</v>
      </c>
      <c r="E166" s="15">
        <v>933577.48150805954</v>
      </c>
      <c r="F166" s="231">
        <f>Yhteenveto[[#This Row],[Ikärakenne, laskennallinen kustannus]]+Yhteenveto[[#This Row],[Muut laskennalliset kustannukset ]]</f>
        <v>7901534.5615080586</v>
      </c>
      <c r="G166" s="508">
        <v>1422.47</v>
      </c>
      <c r="H166" s="17">
        <v>7063986.0200000005</v>
      </c>
      <c r="I166" s="339">
        <f>Yhteenveto[[#This Row],[Laskennalliset kustannukset yhteensä]]-Yhteenveto[[#This Row],[Omarahoitusosuus, €]]</f>
        <v>837548.54150805809</v>
      </c>
      <c r="J166" s="33">
        <v>135761.39158331865</v>
      </c>
      <c r="K166" s="34">
        <v>-2120268.329560305</v>
      </c>
      <c r="L166" s="231">
        <f>Yhteenveto[[#This Row],[Valtionosuus omarahoitusosuuden jälkeen (välisumma)]]+Yhteenveto[[#This Row],[Lisäosat yhteensä]]+Yhteenveto[[#This Row],[Valtionosuuteen tehtävät vähennykset ja lisäykset, netto]]</f>
        <v>-1146958.3964689283</v>
      </c>
      <c r="M166" s="34">
        <v>1978282.7804796875</v>
      </c>
      <c r="N166" s="303">
        <f>SUM(Yhteenveto[[#This Row],[Valtionosuus ennen verotuloihin perustuvaa valtionosuuden tasausta]]+Yhteenveto[[#This Row],[Verotuloihin perustuva valtionosuuden tasaus]])</f>
        <v>831324.38401075918</v>
      </c>
      <c r="O166" s="241">
        <v>532702.22956581763</v>
      </c>
      <c r="P166" s="372">
        <f>SUM(Yhteenveto[[#This Row],[Kunnan  peruspalvelujen valtionosuus ]:[Veroperustemuutoksista johtuvien veromenetysten korvaus]])</f>
        <v>1364026.6135765768</v>
      </c>
      <c r="Q166" s="34">
        <v>36465.289550000016</v>
      </c>
      <c r="R166" s="341">
        <f>+Yhteenveto[[#This Row],[Kunnan  peruspalvelujen valtionosuus ]]+Yhteenveto[[#This Row],[Veroperustemuutoksista johtuvien veromenetysten korvaus]]+Yhteenveto[[#This Row],[Kotikuntakorvaus, netto (ei päivitetty)]]</f>
        <v>1400491.9031265769</v>
      </c>
      <c r="S166" s="11"/>
      <c r="T166"/>
    </row>
    <row r="167" spans="1:20" ht="15">
      <c r="A167" s="32">
        <v>535</v>
      </c>
      <c r="B167" s="13" t="s">
        <v>172</v>
      </c>
      <c r="C167" s="15">
        <v>10454</v>
      </c>
      <c r="D167" s="15">
        <v>22042374.719999995</v>
      </c>
      <c r="E167" s="15">
        <v>1852375.5072551665</v>
      </c>
      <c r="F167" s="231">
        <f>Yhteenveto[[#This Row],[Ikärakenne, laskennallinen kustannus]]+Yhteenveto[[#This Row],[Muut laskennalliset kustannukset ]]</f>
        <v>23894750.227255162</v>
      </c>
      <c r="G167" s="508">
        <v>1422.47</v>
      </c>
      <c r="H167" s="17">
        <v>14870501.380000001</v>
      </c>
      <c r="I167" s="339">
        <f>Yhteenveto[[#This Row],[Laskennalliset kustannukset yhteensä]]-Yhteenveto[[#This Row],[Omarahoitusosuus, €]]</f>
        <v>9024248.847255161</v>
      </c>
      <c r="J167" s="33">
        <v>395290.67769474629</v>
      </c>
      <c r="K167" s="34">
        <v>-633054.42487872101</v>
      </c>
      <c r="L167" s="231">
        <f>Yhteenveto[[#This Row],[Valtionosuus omarahoitusosuuden jälkeen (välisumma)]]+Yhteenveto[[#This Row],[Lisäosat yhteensä]]+Yhteenveto[[#This Row],[Valtionosuuteen tehtävät vähennykset ja lisäykset, netto]]</f>
        <v>8786485.1000711881</v>
      </c>
      <c r="M167" s="34">
        <v>6581944.0051233247</v>
      </c>
      <c r="N167" s="303">
        <f>SUM(Yhteenveto[[#This Row],[Valtionosuus ennen verotuloihin perustuvaa valtionosuuden tasausta]]+Yhteenveto[[#This Row],[Verotuloihin perustuva valtionosuuden tasaus]])</f>
        <v>15368429.105194513</v>
      </c>
      <c r="O167" s="241">
        <v>1191076.6172898414</v>
      </c>
      <c r="P167" s="372">
        <f>SUM(Yhteenveto[[#This Row],[Kunnan  peruspalvelujen valtionosuus ]:[Veroperustemuutoksista johtuvien veromenetysten korvaus]])</f>
        <v>16559505.722484354</v>
      </c>
      <c r="Q167" s="34">
        <v>-61986.367500000051</v>
      </c>
      <c r="R167" s="341">
        <f>+Yhteenveto[[#This Row],[Kunnan  peruspalvelujen valtionosuus ]]+Yhteenveto[[#This Row],[Veroperustemuutoksista johtuvien veromenetysten korvaus]]+Yhteenveto[[#This Row],[Kotikuntakorvaus, netto (ei päivitetty)]]</f>
        <v>16497519.354984354</v>
      </c>
      <c r="S167" s="11"/>
      <c r="T167"/>
    </row>
    <row r="168" spans="1:20" ht="15">
      <c r="A168" s="32">
        <v>536</v>
      </c>
      <c r="B168" s="13" t="s">
        <v>173</v>
      </c>
      <c r="C168" s="15">
        <v>35647</v>
      </c>
      <c r="D168" s="15">
        <v>61065644.939999998</v>
      </c>
      <c r="E168" s="15">
        <v>6787559.7971754167</v>
      </c>
      <c r="F168" s="231">
        <f>Yhteenveto[[#This Row],[Ikärakenne, laskennallinen kustannus]]+Yhteenveto[[#This Row],[Muut laskennalliset kustannukset ]]</f>
        <v>67853204.73717542</v>
      </c>
      <c r="G168" s="508">
        <v>1422.47</v>
      </c>
      <c r="H168" s="17">
        <v>50706788.090000004</v>
      </c>
      <c r="I168" s="339">
        <f>Yhteenveto[[#This Row],[Laskennalliset kustannukset yhteensä]]-Yhteenveto[[#This Row],[Omarahoitusosuus, €]]</f>
        <v>17146416.647175416</v>
      </c>
      <c r="J168" s="33">
        <v>1576052.1953131761</v>
      </c>
      <c r="K168" s="34">
        <v>-4509719.87123386</v>
      </c>
      <c r="L168" s="231">
        <f>Yhteenveto[[#This Row],[Valtionosuus omarahoitusosuuden jälkeen (välisumma)]]+Yhteenveto[[#This Row],[Lisäosat yhteensä]]+Yhteenveto[[#This Row],[Valtionosuuteen tehtävät vähennykset ja lisäykset, netto]]</f>
        <v>14212748.971254734</v>
      </c>
      <c r="M168" s="34">
        <v>6192102.6047542039</v>
      </c>
      <c r="N168" s="303">
        <f>SUM(Yhteenveto[[#This Row],[Valtionosuus ennen verotuloihin perustuvaa valtionosuuden tasausta]]+Yhteenveto[[#This Row],[Verotuloihin perustuva valtionosuuden tasaus]])</f>
        <v>20404851.576008938</v>
      </c>
      <c r="O168" s="241">
        <v>1984555.9332368174</v>
      </c>
      <c r="P168" s="372">
        <f>SUM(Yhteenveto[[#This Row],[Kunnan  peruspalvelujen valtionosuus ]:[Veroperustemuutoksista johtuvien veromenetysten korvaus]])</f>
        <v>22389407.509245757</v>
      </c>
      <c r="Q168" s="34">
        <v>-13856.302799999248</v>
      </c>
      <c r="R168" s="341">
        <f>+Yhteenveto[[#This Row],[Kunnan  peruspalvelujen valtionosuus ]]+Yhteenveto[[#This Row],[Veroperustemuutoksista johtuvien veromenetysten korvaus]]+Yhteenveto[[#This Row],[Kotikuntakorvaus, netto (ei päivitetty)]]</f>
        <v>22375551.206445757</v>
      </c>
      <c r="S168" s="11"/>
      <c r="T168"/>
    </row>
    <row r="169" spans="1:20" ht="15">
      <c r="A169" s="32">
        <v>538</v>
      </c>
      <c r="B169" s="13" t="s">
        <v>174</v>
      </c>
      <c r="C169" s="15">
        <v>4695</v>
      </c>
      <c r="D169" s="15">
        <v>8604965.620000001</v>
      </c>
      <c r="E169" s="15">
        <v>833181.78387459507</v>
      </c>
      <c r="F169" s="231">
        <f>Yhteenveto[[#This Row],[Ikärakenne, laskennallinen kustannus]]+Yhteenveto[[#This Row],[Muut laskennalliset kustannukset ]]</f>
        <v>9438147.4038745966</v>
      </c>
      <c r="G169" s="508">
        <v>1422.47</v>
      </c>
      <c r="H169" s="17">
        <v>6678496.6500000004</v>
      </c>
      <c r="I169" s="339">
        <f>Yhteenveto[[#This Row],[Laskennalliset kustannukset yhteensä]]-Yhteenveto[[#This Row],[Omarahoitusosuus, €]]</f>
        <v>2759650.7538745962</v>
      </c>
      <c r="J169" s="33">
        <v>102617.36708641096</v>
      </c>
      <c r="K169" s="34">
        <v>-473870.08279067051</v>
      </c>
      <c r="L169" s="231">
        <f>Yhteenveto[[#This Row],[Valtionosuus omarahoitusosuuden jälkeen (välisumma)]]+Yhteenveto[[#This Row],[Lisäosat yhteensä]]+Yhteenveto[[#This Row],[Valtionosuuteen tehtävät vähennykset ja lisäykset, netto]]</f>
        <v>2388398.0381703367</v>
      </c>
      <c r="M169" s="34">
        <v>1932661.7320582212</v>
      </c>
      <c r="N169" s="303">
        <f>SUM(Yhteenveto[[#This Row],[Valtionosuus ennen verotuloihin perustuvaa valtionosuuden tasausta]]+Yhteenveto[[#This Row],[Verotuloihin perustuva valtionosuuden tasaus]])</f>
        <v>4321059.7702285582</v>
      </c>
      <c r="O169" s="241">
        <v>424874.02134924236</v>
      </c>
      <c r="P169" s="372">
        <f>SUM(Yhteenveto[[#This Row],[Kunnan  peruspalvelujen valtionosuus ]:[Veroperustemuutoksista johtuvien veromenetysten korvaus]])</f>
        <v>4745933.7915778002</v>
      </c>
      <c r="Q169" s="34">
        <v>-78993.457500000019</v>
      </c>
      <c r="R169" s="341">
        <f>+Yhteenveto[[#This Row],[Kunnan  peruspalvelujen valtionosuus ]]+Yhteenveto[[#This Row],[Veroperustemuutoksista johtuvien veromenetysten korvaus]]+Yhteenveto[[#This Row],[Kotikuntakorvaus, netto (ei päivitetty)]]</f>
        <v>4666940.3340777997</v>
      </c>
      <c r="S169" s="11"/>
      <c r="T169"/>
    </row>
    <row r="170" spans="1:20" ht="15">
      <c r="A170" s="32">
        <v>541</v>
      </c>
      <c r="B170" s="13" t="s">
        <v>175</v>
      </c>
      <c r="C170" s="15">
        <v>9130</v>
      </c>
      <c r="D170" s="15">
        <v>10494793.469999999</v>
      </c>
      <c r="E170" s="15">
        <v>3910364.6480436479</v>
      </c>
      <c r="F170" s="231">
        <f>Yhteenveto[[#This Row],[Ikärakenne, laskennallinen kustannus]]+Yhteenveto[[#This Row],[Muut laskennalliset kustannukset ]]</f>
        <v>14405158.118043646</v>
      </c>
      <c r="G170" s="508">
        <v>1422.47</v>
      </c>
      <c r="H170" s="17">
        <v>12987151.1</v>
      </c>
      <c r="I170" s="339">
        <f>Yhteenveto[[#This Row],[Laskennalliset kustannukset yhteensä]]-Yhteenveto[[#This Row],[Omarahoitusosuus, €]]</f>
        <v>1418007.0180436466</v>
      </c>
      <c r="J170" s="33">
        <v>1319514.7153463757</v>
      </c>
      <c r="K170" s="34">
        <v>3620566.4089146708</v>
      </c>
      <c r="L170" s="231">
        <f>Yhteenveto[[#This Row],[Valtionosuus omarahoitusosuuden jälkeen (välisumma)]]+Yhteenveto[[#This Row],[Lisäosat yhteensä]]+Yhteenveto[[#This Row],[Valtionosuuteen tehtävät vähennykset ja lisäykset, netto]]</f>
        <v>6358088.1423046924</v>
      </c>
      <c r="M170" s="34">
        <v>4197467.2244065749</v>
      </c>
      <c r="N170" s="303">
        <f>SUM(Yhteenveto[[#This Row],[Valtionosuus ennen verotuloihin perustuvaa valtionosuuden tasausta]]+Yhteenveto[[#This Row],[Verotuloihin perustuva valtionosuuden tasaus]])</f>
        <v>10555555.366711266</v>
      </c>
      <c r="O170" s="241">
        <v>1462022.8183782715</v>
      </c>
      <c r="P170" s="372">
        <f>SUM(Yhteenveto[[#This Row],[Kunnan  peruspalvelujen valtionosuus ]:[Veroperustemuutoksista johtuvien veromenetysten korvaus]])</f>
        <v>12017578.185089538</v>
      </c>
      <c r="Q170" s="34">
        <v>-9796.9789500000188</v>
      </c>
      <c r="R170" s="341">
        <f>+Yhteenveto[[#This Row],[Kunnan  peruspalvelujen valtionosuus ]]+Yhteenveto[[#This Row],[Veroperustemuutoksista johtuvien veromenetysten korvaus]]+Yhteenveto[[#This Row],[Kotikuntakorvaus, netto (ei päivitetty)]]</f>
        <v>12007781.206139538</v>
      </c>
      <c r="S170" s="11"/>
      <c r="T170"/>
    </row>
    <row r="171" spans="1:20" ht="15">
      <c r="A171" s="32">
        <v>543</v>
      </c>
      <c r="B171" s="13" t="s">
        <v>176</v>
      </c>
      <c r="C171" s="15">
        <v>44785</v>
      </c>
      <c r="D171" s="15">
        <v>84104224.289999992</v>
      </c>
      <c r="E171" s="15">
        <v>11763654.491259009</v>
      </c>
      <c r="F171" s="231">
        <f>Yhteenveto[[#This Row],[Ikärakenne, laskennallinen kustannus]]+Yhteenveto[[#This Row],[Muut laskennalliset kustannukset ]]</f>
        <v>95867878.781259</v>
      </c>
      <c r="G171" s="508">
        <v>1422.47</v>
      </c>
      <c r="H171" s="17">
        <v>63705318.950000003</v>
      </c>
      <c r="I171" s="339">
        <f>Yhteenveto[[#This Row],[Laskennalliset kustannukset yhteensä]]-Yhteenveto[[#This Row],[Omarahoitusosuus, €]]</f>
        <v>32162559.831258997</v>
      </c>
      <c r="J171" s="33">
        <v>1662418.4866370945</v>
      </c>
      <c r="K171" s="34">
        <v>2834041.0447088513</v>
      </c>
      <c r="L171" s="231">
        <f>Yhteenveto[[#This Row],[Valtionosuus omarahoitusosuuden jälkeen (välisumma)]]+Yhteenveto[[#This Row],[Lisäosat yhteensä]]+Yhteenveto[[#This Row],[Valtionosuuteen tehtävät vähennykset ja lisäykset, netto]]</f>
        <v>36659019.362604938</v>
      </c>
      <c r="M171" s="34">
        <v>-248016.54426154692</v>
      </c>
      <c r="N171" s="303">
        <f>SUM(Yhteenveto[[#This Row],[Valtionosuus ennen verotuloihin perustuvaa valtionosuuden tasausta]]+Yhteenveto[[#This Row],[Verotuloihin perustuva valtionosuuden tasaus]])</f>
        <v>36411002.818343394</v>
      </c>
      <c r="O171" s="241">
        <v>2656732.6410357924</v>
      </c>
      <c r="P171" s="372">
        <f>SUM(Yhteenveto[[#This Row],[Kunnan  peruspalvelujen valtionosuus ]:[Veroperustemuutoksista johtuvien veromenetysten korvaus]])</f>
        <v>39067735.459379189</v>
      </c>
      <c r="Q171" s="34">
        <v>-266196.76289999997</v>
      </c>
      <c r="R171" s="341">
        <f>+Yhteenveto[[#This Row],[Kunnan  peruspalvelujen valtionosuus ]]+Yhteenveto[[#This Row],[Veroperustemuutoksista johtuvien veromenetysten korvaus]]+Yhteenveto[[#This Row],[Kotikuntakorvaus, netto (ei päivitetty)]]</f>
        <v>38801538.696479186</v>
      </c>
      <c r="S171" s="11"/>
      <c r="T171"/>
    </row>
    <row r="172" spans="1:20" ht="15">
      <c r="A172" s="32">
        <v>545</v>
      </c>
      <c r="B172" s="13" t="s">
        <v>177</v>
      </c>
      <c r="C172" s="15">
        <v>9621</v>
      </c>
      <c r="D172" s="15">
        <v>15145905.390000001</v>
      </c>
      <c r="E172" s="15">
        <v>7490877.7017536936</v>
      </c>
      <c r="F172" s="231">
        <f>Yhteenveto[[#This Row],[Ikärakenne, laskennallinen kustannus]]+Yhteenveto[[#This Row],[Muut laskennalliset kustannukset ]]</f>
        <v>22636783.091753695</v>
      </c>
      <c r="G172" s="508">
        <v>1422.47</v>
      </c>
      <c r="H172" s="17">
        <v>13685583.870000001</v>
      </c>
      <c r="I172" s="339">
        <f>Yhteenveto[[#This Row],[Laskennalliset kustannukset yhteensä]]-Yhteenveto[[#This Row],[Omarahoitusosuus, €]]</f>
        <v>8951199.2217536941</v>
      </c>
      <c r="J172" s="33">
        <v>778747.08431180823</v>
      </c>
      <c r="K172" s="34">
        <v>2379888.8605637313</v>
      </c>
      <c r="L172" s="231">
        <f>Yhteenveto[[#This Row],[Valtionosuus omarahoitusosuuden jälkeen (välisumma)]]+Yhteenveto[[#This Row],[Lisäosat yhteensä]]+Yhteenveto[[#This Row],[Valtionosuuteen tehtävät vähennykset ja lisäykset, netto]]</f>
        <v>12109835.166629232</v>
      </c>
      <c r="M172" s="34">
        <v>3036641.3151098499</v>
      </c>
      <c r="N172" s="303">
        <f>SUM(Yhteenveto[[#This Row],[Valtionosuus ennen verotuloihin perustuvaa valtionosuuden tasausta]]+Yhteenveto[[#This Row],[Verotuloihin perustuva valtionosuuden tasaus]])</f>
        <v>15146476.481739081</v>
      </c>
      <c r="O172" s="241">
        <v>1511683.778457378</v>
      </c>
      <c r="P172" s="372">
        <f>SUM(Yhteenveto[[#This Row],[Kunnan  peruspalvelujen valtionosuus ]:[Veroperustemuutoksista johtuvien veromenetysten korvaus]])</f>
        <v>16658160.260196459</v>
      </c>
      <c r="Q172" s="34">
        <v>13575.834999999992</v>
      </c>
      <c r="R172" s="341">
        <f>+Yhteenveto[[#This Row],[Kunnan  peruspalvelujen valtionosuus ]]+Yhteenveto[[#This Row],[Veroperustemuutoksista johtuvien veromenetysten korvaus]]+Yhteenveto[[#This Row],[Kotikuntakorvaus, netto (ei päivitetty)]]</f>
        <v>16671736.095196459</v>
      </c>
      <c r="S172" s="11"/>
      <c r="T172"/>
    </row>
    <row r="173" spans="1:20" ht="15">
      <c r="A173" s="32">
        <v>560</v>
      </c>
      <c r="B173" s="13" t="s">
        <v>178</v>
      </c>
      <c r="C173" s="15">
        <v>15669</v>
      </c>
      <c r="D173" s="15">
        <v>24849188.869999997</v>
      </c>
      <c r="E173" s="15">
        <v>4119548.9742794074</v>
      </c>
      <c r="F173" s="231">
        <f>Yhteenveto[[#This Row],[Ikärakenne, laskennallinen kustannus]]+Yhteenveto[[#This Row],[Muut laskennalliset kustannukset ]]</f>
        <v>28968737.844279405</v>
      </c>
      <c r="G173" s="508">
        <v>1422.47</v>
      </c>
      <c r="H173" s="17">
        <v>22288682.43</v>
      </c>
      <c r="I173" s="339">
        <f>Yhteenveto[[#This Row],[Laskennalliset kustannukset yhteensä]]-Yhteenveto[[#This Row],[Omarahoitusosuus, €]]</f>
        <v>6680055.414279405</v>
      </c>
      <c r="J173" s="33">
        <v>409176.85825297178</v>
      </c>
      <c r="K173" s="34">
        <v>-1342701.4042206798</v>
      </c>
      <c r="L173" s="231">
        <f>Yhteenveto[[#This Row],[Valtionosuus omarahoitusosuuden jälkeen (välisumma)]]+Yhteenveto[[#This Row],[Lisäosat yhteensä]]+Yhteenveto[[#This Row],[Valtionosuuteen tehtävät vähennykset ja lisäykset, netto]]</f>
        <v>5746530.8683116967</v>
      </c>
      <c r="M173" s="34">
        <v>6511466.2126000328</v>
      </c>
      <c r="N173" s="303">
        <f>SUM(Yhteenveto[[#This Row],[Valtionosuus ennen verotuloihin perustuvaa valtionosuuden tasausta]]+Yhteenveto[[#This Row],[Verotuloihin perustuva valtionosuuden tasaus]])</f>
        <v>12257997.080911729</v>
      </c>
      <c r="O173" s="241">
        <v>1725272.0522359279</v>
      </c>
      <c r="P173" s="372">
        <f>SUM(Yhteenveto[[#This Row],[Kunnan  peruspalvelujen valtionosuus ]:[Veroperustemuutoksista johtuvien veromenetysten korvaus]])</f>
        <v>13983269.133147657</v>
      </c>
      <c r="Q173" s="34">
        <v>474517.20505000046</v>
      </c>
      <c r="R173" s="341">
        <f>+Yhteenveto[[#This Row],[Kunnan  peruspalvelujen valtionosuus ]]+Yhteenveto[[#This Row],[Veroperustemuutoksista johtuvien veromenetysten korvaus]]+Yhteenveto[[#This Row],[Kotikuntakorvaus, netto (ei päivitetty)]]</f>
        <v>14457786.338197658</v>
      </c>
      <c r="S173" s="11"/>
      <c r="T173"/>
    </row>
    <row r="174" spans="1:20" ht="15">
      <c r="A174" s="32">
        <v>561</v>
      </c>
      <c r="B174" s="13" t="s">
        <v>179</v>
      </c>
      <c r="C174" s="15">
        <v>1315</v>
      </c>
      <c r="D174" s="15">
        <v>2239396.3199999998</v>
      </c>
      <c r="E174" s="15">
        <v>483887.07587266748</v>
      </c>
      <c r="F174" s="231">
        <f>Yhteenveto[[#This Row],[Ikärakenne, laskennallinen kustannus]]+Yhteenveto[[#This Row],[Muut laskennalliset kustannukset ]]</f>
        <v>2723283.3958726674</v>
      </c>
      <c r="G174" s="508">
        <v>1422.47</v>
      </c>
      <c r="H174" s="17">
        <v>1870548.05</v>
      </c>
      <c r="I174" s="339">
        <f>Yhteenveto[[#This Row],[Laskennalliset kustannukset yhteensä]]-Yhteenveto[[#This Row],[Omarahoitusosuus, €]]</f>
        <v>852735.34587266739</v>
      </c>
      <c r="J174" s="33">
        <v>31874.164931203341</v>
      </c>
      <c r="K174" s="34">
        <v>619669.67886355403</v>
      </c>
      <c r="L174" s="231">
        <f>Yhteenveto[[#This Row],[Valtionosuus omarahoitusosuuden jälkeen (välisumma)]]+Yhteenveto[[#This Row],[Lisäosat yhteensä]]+Yhteenveto[[#This Row],[Valtionosuuteen tehtävät vähennykset ja lisäykset, netto]]</f>
        <v>1504279.1896674247</v>
      </c>
      <c r="M174" s="34">
        <v>439057.48272906744</v>
      </c>
      <c r="N174" s="303">
        <f>SUM(Yhteenveto[[#This Row],[Valtionosuus ennen verotuloihin perustuvaa valtionosuuden tasausta]]+Yhteenveto[[#This Row],[Verotuloihin perustuva valtionosuuden tasaus]])</f>
        <v>1943336.6723964922</v>
      </c>
      <c r="O174" s="241">
        <v>256104.07618257817</v>
      </c>
      <c r="P174" s="372">
        <f>SUM(Yhteenveto[[#This Row],[Kunnan  peruspalvelujen valtionosuus ]:[Veroperustemuutoksista johtuvien veromenetysten korvaus]])</f>
        <v>2199440.7485790704</v>
      </c>
      <c r="Q174" s="34">
        <v>-593756.30000000005</v>
      </c>
      <c r="R174" s="341">
        <f>+Yhteenveto[[#This Row],[Kunnan  peruspalvelujen valtionosuus ]]+Yhteenveto[[#This Row],[Veroperustemuutoksista johtuvien veromenetysten korvaus]]+Yhteenveto[[#This Row],[Kotikuntakorvaus, netto (ei päivitetty)]]</f>
        <v>1605684.4485790704</v>
      </c>
      <c r="S174" s="11"/>
      <c r="T174"/>
    </row>
    <row r="175" spans="1:20" ht="15">
      <c r="A175" s="32">
        <v>562</v>
      </c>
      <c r="B175" s="13" t="s">
        <v>180</v>
      </c>
      <c r="C175" s="15">
        <v>8839</v>
      </c>
      <c r="D175" s="15">
        <v>12332104.759999998</v>
      </c>
      <c r="E175" s="15">
        <v>2058450.6124090422</v>
      </c>
      <c r="F175" s="231">
        <f>Yhteenveto[[#This Row],[Ikärakenne, laskennallinen kustannus]]+Yhteenveto[[#This Row],[Muut laskennalliset kustannukset ]]</f>
        <v>14390555.37240904</v>
      </c>
      <c r="G175" s="508">
        <v>1422.47</v>
      </c>
      <c r="H175" s="17">
        <v>12573212.33</v>
      </c>
      <c r="I175" s="339">
        <f>Yhteenveto[[#This Row],[Laskennalliset kustannukset yhteensä]]-Yhteenveto[[#This Row],[Omarahoitusosuus, €]]</f>
        <v>1817343.04240904</v>
      </c>
      <c r="J175" s="33">
        <v>421147.4377194288</v>
      </c>
      <c r="K175" s="34">
        <v>-725355.85705303587</v>
      </c>
      <c r="L175" s="231">
        <f>Yhteenveto[[#This Row],[Valtionosuus omarahoitusosuuden jälkeen (välisumma)]]+Yhteenveto[[#This Row],[Lisäosat yhteensä]]+Yhteenveto[[#This Row],[Valtionosuuteen tehtävät vähennykset ja lisäykset, netto]]</f>
        <v>1513134.6230754331</v>
      </c>
      <c r="M175" s="34">
        <v>3485792.5314667211</v>
      </c>
      <c r="N175" s="303">
        <f>SUM(Yhteenveto[[#This Row],[Valtionosuus ennen verotuloihin perustuvaa valtionosuuden tasausta]]+Yhteenveto[[#This Row],[Verotuloihin perustuva valtionosuuden tasaus]])</f>
        <v>4998927.1545421537</v>
      </c>
      <c r="O175" s="241">
        <v>1060062.2630919507</v>
      </c>
      <c r="P175" s="372">
        <f>SUM(Yhteenveto[[#This Row],[Kunnan  peruspalvelujen valtionosuus ]:[Veroperustemuutoksista johtuvien veromenetysten korvaus]])</f>
        <v>6058989.4176341044</v>
      </c>
      <c r="Q175" s="34">
        <v>-121248.61689999991</v>
      </c>
      <c r="R175" s="341">
        <f>+Yhteenveto[[#This Row],[Kunnan  peruspalvelujen valtionosuus ]]+Yhteenveto[[#This Row],[Veroperustemuutoksista johtuvien veromenetysten korvaus]]+Yhteenveto[[#This Row],[Kotikuntakorvaus, netto (ei päivitetty)]]</f>
        <v>5937740.8007341046</v>
      </c>
      <c r="S175" s="11"/>
      <c r="T175"/>
    </row>
    <row r="176" spans="1:20" ht="15">
      <c r="A176" s="32">
        <v>563</v>
      </c>
      <c r="B176" s="13" t="s">
        <v>181</v>
      </c>
      <c r="C176" s="15">
        <v>6978</v>
      </c>
      <c r="D176" s="15">
        <v>11406781.279999999</v>
      </c>
      <c r="E176" s="15">
        <v>1634529.8072238993</v>
      </c>
      <c r="F176" s="231">
        <f>Yhteenveto[[#This Row],[Ikärakenne, laskennallinen kustannus]]+Yhteenveto[[#This Row],[Muut laskennalliset kustannukset ]]</f>
        <v>13041311.087223899</v>
      </c>
      <c r="G176" s="508">
        <v>1422.47</v>
      </c>
      <c r="H176" s="17">
        <v>9925995.6600000001</v>
      </c>
      <c r="I176" s="339">
        <f>Yhteenveto[[#This Row],[Laskennalliset kustannukset yhteensä]]-Yhteenveto[[#This Row],[Omarahoitusosuus, €]]</f>
        <v>3115315.4272238985</v>
      </c>
      <c r="J176" s="33">
        <v>425256.0169053133</v>
      </c>
      <c r="K176" s="34">
        <v>-2030399.9191799159</v>
      </c>
      <c r="L176" s="231">
        <f>Yhteenveto[[#This Row],[Valtionosuus omarahoitusosuuden jälkeen (välisumma)]]+Yhteenveto[[#This Row],[Lisäosat yhteensä]]+Yhteenveto[[#This Row],[Valtionosuuteen tehtävät vähennykset ja lisäykset, netto]]</f>
        <v>1510171.5249492959</v>
      </c>
      <c r="M176" s="34">
        <v>3278720.6277888189</v>
      </c>
      <c r="N176" s="303">
        <f>SUM(Yhteenveto[[#This Row],[Valtionosuus ennen verotuloihin perustuvaa valtionosuuden tasausta]]+Yhteenveto[[#This Row],[Verotuloihin perustuva valtionosuuden tasaus]])</f>
        <v>4788892.1527381148</v>
      </c>
      <c r="O176" s="241">
        <v>758604.12389413116</v>
      </c>
      <c r="P176" s="372">
        <f>SUM(Yhteenveto[[#This Row],[Kunnan  peruspalvelujen valtionosuus ]:[Veroperustemuutoksista johtuvien veromenetysten korvaus]])</f>
        <v>5547496.2766322456</v>
      </c>
      <c r="Q176" s="34">
        <v>11815.452000000019</v>
      </c>
      <c r="R176" s="341">
        <f>+Yhteenveto[[#This Row],[Kunnan  peruspalvelujen valtionosuus ]]+Yhteenveto[[#This Row],[Veroperustemuutoksista johtuvien veromenetysten korvaus]]+Yhteenveto[[#This Row],[Kotikuntakorvaus, netto (ei päivitetty)]]</f>
        <v>5559311.7286322452</v>
      </c>
      <c r="S176" s="11"/>
      <c r="T176"/>
    </row>
    <row r="177" spans="1:20" ht="15">
      <c r="A177" s="32">
        <v>564</v>
      </c>
      <c r="B177" s="13" t="s">
        <v>182</v>
      </c>
      <c r="C177" s="15">
        <v>214633</v>
      </c>
      <c r="D177" s="15">
        <v>347869663.81999999</v>
      </c>
      <c r="E177" s="15">
        <v>61966692.19180277</v>
      </c>
      <c r="F177" s="231">
        <f>Yhteenveto[[#This Row],[Ikärakenne, laskennallinen kustannus]]+Yhteenveto[[#This Row],[Muut laskennalliset kustannukset ]]</f>
        <v>409836356.01180279</v>
      </c>
      <c r="G177" s="508">
        <v>1422.47</v>
      </c>
      <c r="H177" s="17">
        <v>305309003.50999999</v>
      </c>
      <c r="I177" s="339">
        <f>Yhteenveto[[#This Row],[Laskennalliset kustannukset yhteensä]]-Yhteenveto[[#This Row],[Omarahoitusosuus, €]]</f>
        <v>104527352.5018028</v>
      </c>
      <c r="J177" s="33">
        <v>9992039.8963254653</v>
      </c>
      <c r="K177" s="34">
        <v>-38767702.307197437</v>
      </c>
      <c r="L177" s="231">
        <f>Yhteenveto[[#This Row],[Valtionosuus omarahoitusosuuden jälkeen (välisumma)]]+Yhteenveto[[#This Row],[Lisäosat yhteensä]]+Yhteenveto[[#This Row],[Valtionosuuteen tehtävät vähennykset ja lisäykset, netto]]</f>
        <v>75751690.090930834</v>
      </c>
      <c r="M177" s="34">
        <v>36730295.804355547</v>
      </c>
      <c r="N177" s="303">
        <f>SUM(Yhteenveto[[#This Row],[Valtionosuus ennen verotuloihin perustuvaa valtionosuuden tasausta]]+Yhteenveto[[#This Row],[Verotuloihin perustuva valtionosuuden tasaus]])</f>
        <v>112481985.89528638</v>
      </c>
      <c r="O177" s="241">
        <v>17116093.453777634</v>
      </c>
      <c r="P177" s="372">
        <f>SUM(Yhteenveto[[#This Row],[Kunnan  peruspalvelujen valtionosuus ]:[Veroperustemuutoksista johtuvien veromenetysten korvaus]])</f>
        <v>129598079.34906402</v>
      </c>
      <c r="Q177" s="34">
        <v>-12981641.587950006</v>
      </c>
      <c r="R177" s="341">
        <f>+Yhteenveto[[#This Row],[Kunnan  peruspalvelujen valtionosuus ]]+Yhteenveto[[#This Row],[Veroperustemuutoksista johtuvien veromenetysten korvaus]]+Yhteenveto[[#This Row],[Kotikuntakorvaus, netto (ei päivitetty)]]</f>
        <v>116616437.76111402</v>
      </c>
      <c r="S177" s="11"/>
      <c r="T177"/>
    </row>
    <row r="178" spans="1:20" ht="15">
      <c r="A178" s="32">
        <v>576</v>
      </c>
      <c r="B178" s="13" t="s">
        <v>183</v>
      </c>
      <c r="C178" s="15">
        <v>2726</v>
      </c>
      <c r="D178" s="15">
        <v>2687264.1500000004</v>
      </c>
      <c r="E178" s="15">
        <v>981251.40457092121</v>
      </c>
      <c r="F178" s="231">
        <f>Yhteenveto[[#This Row],[Ikärakenne, laskennallinen kustannus]]+Yhteenveto[[#This Row],[Muut laskennalliset kustannukset ]]</f>
        <v>3668515.5545709217</v>
      </c>
      <c r="G178" s="508">
        <v>1422.47</v>
      </c>
      <c r="H178" s="17">
        <v>3877653.22</v>
      </c>
      <c r="I178" s="339">
        <f>Yhteenveto[[#This Row],[Laskennalliset kustannukset yhteensä]]-Yhteenveto[[#This Row],[Omarahoitusosuus, €]]</f>
        <v>-209137.66542907851</v>
      </c>
      <c r="J178" s="33">
        <v>372041.26663620363</v>
      </c>
      <c r="K178" s="34">
        <v>529240.78006069665</v>
      </c>
      <c r="L178" s="231">
        <f>Yhteenveto[[#This Row],[Valtionosuus omarahoitusosuuden jälkeen (välisumma)]]+Yhteenveto[[#This Row],[Lisäosat yhteensä]]+Yhteenveto[[#This Row],[Valtionosuuteen tehtävät vähennykset ja lisäykset, netto]]</f>
        <v>692144.38126782177</v>
      </c>
      <c r="M178" s="34">
        <v>965725.34853023349</v>
      </c>
      <c r="N178" s="303">
        <f>SUM(Yhteenveto[[#This Row],[Valtionosuus ennen verotuloihin perustuvaa valtionosuuden tasausta]]+Yhteenveto[[#This Row],[Verotuloihin perustuva valtionosuuden tasaus]])</f>
        <v>1657869.7297980553</v>
      </c>
      <c r="O178" s="241">
        <v>485142.51899181324</v>
      </c>
      <c r="P178" s="372">
        <f>SUM(Yhteenveto[[#This Row],[Kunnan  peruspalvelujen valtionosuus ]:[Veroperustemuutoksista johtuvien veromenetysten korvaus]])</f>
        <v>2143012.2487898683</v>
      </c>
      <c r="Q178" s="34">
        <v>-41697.207500000004</v>
      </c>
      <c r="R178" s="341">
        <f>+Yhteenveto[[#This Row],[Kunnan  peruspalvelujen valtionosuus ]]+Yhteenveto[[#This Row],[Veroperustemuutoksista johtuvien veromenetysten korvaus]]+Yhteenveto[[#This Row],[Kotikuntakorvaus, netto (ei päivitetty)]]</f>
        <v>2101315.0412898683</v>
      </c>
      <c r="S178" s="11"/>
      <c r="T178"/>
    </row>
    <row r="179" spans="1:20" ht="15">
      <c r="A179" s="32">
        <v>577</v>
      </c>
      <c r="B179" s="13" t="s">
        <v>184</v>
      </c>
      <c r="C179" s="15">
        <v>11236</v>
      </c>
      <c r="D179" s="15">
        <v>20440539.950000003</v>
      </c>
      <c r="E179" s="15">
        <v>2075546.7392969709</v>
      </c>
      <c r="F179" s="231">
        <f>Yhteenveto[[#This Row],[Ikärakenne, laskennallinen kustannus]]+Yhteenveto[[#This Row],[Muut laskennalliset kustannukset ]]</f>
        <v>22516086.689296976</v>
      </c>
      <c r="G179" s="508">
        <v>1422.47</v>
      </c>
      <c r="H179" s="17">
        <v>15982872.92</v>
      </c>
      <c r="I179" s="339">
        <f>Yhteenveto[[#This Row],[Laskennalliset kustannukset yhteensä]]-Yhteenveto[[#This Row],[Omarahoitusosuus, €]]</f>
        <v>6533213.7692969758</v>
      </c>
      <c r="J179" s="33">
        <v>428201.02776748943</v>
      </c>
      <c r="K179" s="34">
        <v>-490342.17449585063</v>
      </c>
      <c r="L179" s="231">
        <f>Yhteenveto[[#This Row],[Valtionosuus omarahoitusosuuden jälkeen (välisumma)]]+Yhteenveto[[#This Row],[Lisäosat yhteensä]]+Yhteenveto[[#This Row],[Valtionosuuteen tehtävät vähennykset ja lisäykset, netto]]</f>
        <v>6471072.6225686148</v>
      </c>
      <c r="M179" s="34">
        <v>2259526.314214488</v>
      </c>
      <c r="N179" s="303">
        <f>SUM(Yhteenveto[[#This Row],[Valtionosuus ennen verotuloihin perustuvaa valtionosuuden tasausta]]+Yhteenveto[[#This Row],[Verotuloihin perustuva valtionosuuden tasaus]])</f>
        <v>8730598.9367831033</v>
      </c>
      <c r="O179" s="241">
        <v>839924.30279719026</v>
      </c>
      <c r="P179" s="372">
        <f>SUM(Yhteenveto[[#This Row],[Kunnan  peruspalvelujen valtionosuus ]:[Veroperustemuutoksista johtuvien veromenetysten korvaus]])</f>
        <v>9570523.2395802941</v>
      </c>
      <c r="Q179" s="34">
        <v>-23049.082500000019</v>
      </c>
      <c r="R179" s="341">
        <f>+Yhteenveto[[#This Row],[Kunnan  peruspalvelujen valtionosuus ]]+Yhteenveto[[#This Row],[Veroperustemuutoksista johtuvien veromenetysten korvaus]]+Yhteenveto[[#This Row],[Kotikuntakorvaus, netto (ei päivitetty)]]</f>
        <v>9547474.1570802946</v>
      </c>
      <c r="S179" s="11"/>
      <c r="T179"/>
    </row>
    <row r="180" spans="1:20" ht="15">
      <c r="A180" s="32">
        <v>578</v>
      </c>
      <c r="B180" s="13" t="s">
        <v>185</v>
      </c>
      <c r="C180" s="15">
        <v>3037</v>
      </c>
      <c r="D180" s="15">
        <v>3713437.56</v>
      </c>
      <c r="E180" s="15">
        <v>1226288.652360735</v>
      </c>
      <c r="F180" s="231">
        <f>Yhteenveto[[#This Row],[Ikärakenne, laskennallinen kustannus]]+Yhteenveto[[#This Row],[Muut laskennalliset kustannukset ]]</f>
        <v>4939726.2123607351</v>
      </c>
      <c r="G180" s="508">
        <v>1422.47</v>
      </c>
      <c r="H180" s="17">
        <v>4320041.3899999997</v>
      </c>
      <c r="I180" s="339">
        <f>Yhteenveto[[#This Row],[Laskennalliset kustannukset yhteensä]]-Yhteenveto[[#This Row],[Omarahoitusosuus, €]]</f>
        <v>619684.82236073539</v>
      </c>
      <c r="J180" s="33">
        <v>286050.01981047168</v>
      </c>
      <c r="K180" s="34">
        <v>-674476.7071383826</v>
      </c>
      <c r="L180" s="231">
        <f>Yhteenveto[[#This Row],[Valtionosuus omarahoitusosuuden jälkeen (välisumma)]]+Yhteenveto[[#This Row],[Lisäosat yhteensä]]+Yhteenveto[[#This Row],[Valtionosuuteen tehtävät vähennykset ja lisäykset, netto]]</f>
        <v>231258.13503282447</v>
      </c>
      <c r="M180" s="34">
        <v>1898930.76346755</v>
      </c>
      <c r="N180" s="303">
        <f>SUM(Yhteenveto[[#This Row],[Valtionosuus ennen verotuloihin perustuvaa valtionosuuden tasausta]]+Yhteenveto[[#This Row],[Verotuloihin perustuva valtionosuuden tasaus]])</f>
        <v>2130188.8985003745</v>
      </c>
      <c r="O180" s="241">
        <v>464128.56365547585</v>
      </c>
      <c r="P180" s="372">
        <f>SUM(Yhteenveto[[#This Row],[Kunnan  peruspalvelujen valtionosuus ]:[Veroperustemuutoksista johtuvien veromenetysten korvaus]])</f>
        <v>2594317.4621558506</v>
      </c>
      <c r="Q180" s="34">
        <v>357074.29749999999</v>
      </c>
      <c r="R180" s="341">
        <f>+Yhteenveto[[#This Row],[Kunnan  peruspalvelujen valtionosuus ]]+Yhteenveto[[#This Row],[Veroperustemuutoksista johtuvien veromenetysten korvaus]]+Yhteenveto[[#This Row],[Kotikuntakorvaus, netto (ei päivitetty)]]</f>
        <v>2951391.7596558505</v>
      </c>
      <c r="S180" s="11"/>
      <c r="T180"/>
    </row>
    <row r="181" spans="1:20" ht="15">
      <c r="A181" s="32">
        <v>580</v>
      </c>
      <c r="B181" s="13" t="s">
        <v>186</v>
      </c>
      <c r="C181" s="15">
        <v>4366</v>
      </c>
      <c r="D181" s="15">
        <v>4418581.6899999995</v>
      </c>
      <c r="E181" s="15">
        <v>1366104.5805649136</v>
      </c>
      <c r="F181" s="231">
        <f>Yhteenveto[[#This Row],[Ikärakenne, laskennallinen kustannus]]+Yhteenveto[[#This Row],[Muut laskennalliset kustannukset ]]</f>
        <v>5784686.2705649128</v>
      </c>
      <c r="G181" s="508">
        <v>1422.47</v>
      </c>
      <c r="H181" s="17">
        <v>6210504.0200000005</v>
      </c>
      <c r="I181" s="339">
        <f>Yhteenveto[[#This Row],[Laskennalliset kustannukset yhteensä]]-Yhteenveto[[#This Row],[Omarahoitusosuus, €]]</f>
        <v>-425817.74943508767</v>
      </c>
      <c r="J181" s="33">
        <v>697192.94272261183</v>
      </c>
      <c r="K181" s="34">
        <v>-675507.0361288659</v>
      </c>
      <c r="L181" s="231">
        <f>Yhteenveto[[#This Row],[Valtionosuus omarahoitusosuuden jälkeen (välisumma)]]+Yhteenveto[[#This Row],[Lisäosat yhteensä]]+Yhteenveto[[#This Row],[Valtionosuuteen tehtävät vähennykset ja lisäykset, netto]]</f>
        <v>-404131.84284134174</v>
      </c>
      <c r="M181" s="34">
        <v>1720215.7847554462</v>
      </c>
      <c r="N181" s="303">
        <f>SUM(Yhteenveto[[#This Row],[Valtionosuus ennen verotuloihin perustuvaa valtionosuuden tasausta]]+Yhteenveto[[#This Row],[Verotuloihin perustuva valtionosuuden tasaus]])</f>
        <v>1316083.9419141044</v>
      </c>
      <c r="O181" s="241">
        <v>761934.22961061308</v>
      </c>
      <c r="P181" s="372">
        <f>SUM(Yhteenveto[[#This Row],[Kunnan  peruspalvelujen valtionosuus ]:[Veroperustemuutoksista johtuvien veromenetysten korvaus]])</f>
        <v>2078018.1715247175</v>
      </c>
      <c r="Q181" s="34">
        <v>65715.992500000008</v>
      </c>
      <c r="R181" s="341">
        <f>+Yhteenveto[[#This Row],[Kunnan  peruspalvelujen valtionosuus ]]+Yhteenveto[[#This Row],[Veroperustemuutoksista johtuvien veromenetysten korvaus]]+Yhteenveto[[#This Row],[Kotikuntakorvaus, netto (ei päivitetty)]]</f>
        <v>2143734.1640247176</v>
      </c>
      <c r="S181" s="11"/>
      <c r="T181"/>
    </row>
    <row r="182" spans="1:20" ht="15">
      <c r="A182" s="32">
        <v>581</v>
      </c>
      <c r="B182" s="13" t="s">
        <v>187</v>
      </c>
      <c r="C182" s="15">
        <v>6123</v>
      </c>
      <c r="D182" s="15">
        <v>8173198.6200000001</v>
      </c>
      <c r="E182" s="15">
        <v>1922828.8450201147</v>
      </c>
      <c r="F182" s="231">
        <f>Yhteenveto[[#This Row],[Ikärakenne, laskennallinen kustannus]]+Yhteenveto[[#This Row],[Muut laskennalliset kustannukset ]]</f>
        <v>10096027.465020115</v>
      </c>
      <c r="G182" s="508">
        <v>1422.47</v>
      </c>
      <c r="H182" s="17">
        <v>8709783.8100000005</v>
      </c>
      <c r="I182" s="339">
        <f>Yhteenveto[[#This Row],[Laskennalliset kustannukset yhteensä]]-Yhteenveto[[#This Row],[Omarahoitusosuus, €]]</f>
        <v>1386243.655020114</v>
      </c>
      <c r="J182" s="33">
        <v>508444.23752519244</v>
      </c>
      <c r="K182" s="34">
        <v>-1139607.1834395844</v>
      </c>
      <c r="L182" s="231">
        <f>Yhteenveto[[#This Row],[Valtionosuus omarahoitusosuuden jälkeen (välisumma)]]+Yhteenveto[[#This Row],[Lisäosat yhteensä]]+Yhteenveto[[#This Row],[Valtionosuuteen tehtävät vähennykset ja lisäykset, netto]]</f>
        <v>755080.70910572214</v>
      </c>
      <c r="M182" s="34">
        <v>2278422.1325085484</v>
      </c>
      <c r="N182" s="303">
        <f>SUM(Yhteenveto[[#This Row],[Valtionosuus ennen verotuloihin perustuvaa valtionosuuden tasausta]]+Yhteenveto[[#This Row],[Verotuloihin perustuva valtionosuuden tasaus]])</f>
        <v>3033502.8416142706</v>
      </c>
      <c r="O182" s="241">
        <v>805246.54460611218</v>
      </c>
      <c r="P182" s="372">
        <f>SUM(Yhteenveto[[#This Row],[Kunnan  peruspalvelujen valtionosuus ]:[Veroperustemuutoksista johtuvien veromenetysten korvaus]])</f>
        <v>3838749.3862203825</v>
      </c>
      <c r="Q182" s="34">
        <v>101893.35499999997</v>
      </c>
      <c r="R182" s="341">
        <f>+Yhteenveto[[#This Row],[Kunnan  peruspalvelujen valtionosuus ]]+Yhteenveto[[#This Row],[Veroperustemuutoksista johtuvien veromenetysten korvaus]]+Yhteenveto[[#This Row],[Kotikuntakorvaus, netto (ei päivitetty)]]</f>
        <v>3940642.7412203825</v>
      </c>
      <c r="S182" s="11"/>
      <c r="T182"/>
    </row>
    <row r="183" spans="1:20" ht="15">
      <c r="A183" s="32">
        <v>583</v>
      </c>
      <c r="B183" s="13" t="s">
        <v>188</v>
      </c>
      <c r="C183" s="15">
        <v>912</v>
      </c>
      <c r="D183" s="15">
        <v>740923.2</v>
      </c>
      <c r="E183" s="15">
        <v>934150.53488666622</v>
      </c>
      <c r="F183" s="231">
        <f>Yhteenveto[[#This Row],[Ikärakenne, laskennallinen kustannus]]+Yhteenveto[[#This Row],[Muut laskennalliset kustannukset ]]</f>
        <v>1675073.7348866663</v>
      </c>
      <c r="G183" s="508">
        <v>1422.47</v>
      </c>
      <c r="H183" s="17">
        <v>1297292.6400000001</v>
      </c>
      <c r="I183" s="339">
        <f>Yhteenveto[[#This Row],[Laskennalliset kustannukset yhteensä]]-Yhteenveto[[#This Row],[Omarahoitusosuus, €]]</f>
        <v>377781.09488666616</v>
      </c>
      <c r="J183" s="33">
        <v>359349.99813628604</v>
      </c>
      <c r="K183" s="34">
        <v>-206909.84619809728</v>
      </c>
      <c r="L183" s="231">
        <f>Yhteenveto[[#This Row],[Valtionosuus omarahoitusosuuden jälkeen (välisumma)]]+Yhteenveto[[#This Row],[Lisäosat yhteensä]]+Yhteenveto[[#This Row],[Valtionosuuteen tehtävät vähennykset ja lisäykset, netto]]</f>
        <v>530221.24682485498</v>
      </c>
      <c r="M183" s="34">
        <v>126055.78790660459</v>
      </c>
      <c r="N183" s="303">
        <f>SUM(Yhteenveto[[#This Row],[Valtionosuus ennen verotuloihin perustuvaa valtionosuuden tasausta]]+Yhteenveto[[#This Row],[Verotuloihin perustuva valtionosuuden tasaus]])</f>
        <v>656277.03473145957</v>
      </c>
      <c r="O183" s="241">
        <v>130820.12209057904</v>
      </c>
      <c r="P183" s="372">
        <f>SUM(Yhteenveto[[#This Row],[Kunnan  peruspalvelujen valtionosuus ]:[Veroperustemuutoksista johtuvien veromenetysten korvaus]])</f>
        <v>787097.15682203858</v>
      </c>
      <c r="Q183" s="34">
        <v>141651.1575</v>
      </c>
      <c r="R183" s="341">
        <f>+Yhteenveto[[#This Row],[Kunnan  peruspalvelujen valtionosuus ]]+Yhteenveto[[#This Row],[Veroperustemuutoksista johtuvien veromenetysten korvaus]]+Yhteenveto[[#This Row],[Kotikuntakorvaus, netto (ei päivitetty)]]</f>
        <v>928748.31432203855</v>
      </c>
      <c r="S183" s="11"/>
      <c r="T183"/>
    </row>
    <row r="184" spans="1:20" ht="15">
      <c r="A184" s="32">
        <v>584</v>
      </c>
      <c r="B184" s="13" t="s">
        <v>189</v>
      </c>
      <c r="C184" s="15">
        <v>2578</v>
      </c>
      <c r="D184" s="15">
        <v>6044475.3000000007</v>
      </c>
      <c r="E184" s="15">
        <v>975528.74981185922</v>
      </c>
      <c r="F184" s="231">
        <f>Yhteenveto[[#This Row],[Ikärakenne, laskennallinen kustannus]]+Yhteenveto[[#This Row],[Muut laskennalliset kustannukset ]]</f>
        <v>7020004.0498118596</v>
      </c>
      <c r="G184" s="508">
        <v>1422.47</v>
      </c>
      <c r="H184" s="17">
        <v>3667127.66</v>
      </c>
      <c r="I184" s="339">
        <f>Yhteenveto[[#This Row],[Laskennalliset kustannukset yhteensä]]-Yhteenveto[[#This Row],[Omarahoitusosuus, €]]</f>
        <v>3352876.3898118595</v>
      </c>
      <c r="J184" s="33">
        <v>411319.7796941764</v>
      </c>
      <c r="K184" s="34">
        <v>-944201.23956472776</v>
      </c>
      <c r="L184" s="231">
        <f>Yhteenveto[[#This Row],[Valtionosuus omarahoitusosuuden jälkeen (välisumma)]]+Yhteenveto[[#This Row],[Lisäosat yhteensä]]+Yhteenveto[[#This Row],[Valtionosuuteen tehtävät vähennykset ja lisäykset, netto]]</f>
        <v>2819994.9299413078</v>
      </c>
      <c r="M184" s="34">
        <v>1909836.6894503257</v>
      </c>
      <c r="N184" s="303">
        <f>SUM(Yhteenveto[[#This Row],[Valtionosuus ennen verotuloihin perustuvaa valtionosuuden tasausta]]+Yhteenveto[[#This Row],[Verotuloihin perustuva valtionosuuden tasaus]])</f>
        <v>4729831.6193916332</v>
      </c>
      <c r="O184" s="241">
        <v>384800.65599519282</v>
      </c>
      <c r="P184" s="372">
        <f>SUM(Yhteenveto[[#This Row],[Kunnan  peruspalvelujen valtionosuus ]:[Veroperustemuutoksista johtuvien veromenetysten korvaus]])</f>
        <v>5114632.2753868261</v>
      </c>
      <c r="Q184" s="34">
        <v>11934.800000000001</v>
      </c>
      <c r="R184" s="341">
        <f>+Yhteenveto[[#This Row],[Kunnan  peruspalvelujen valtionosuus ]]+Yhteenveto[[#This Row],[Veroperustemuutoksista johtuvien veromenetysten korvaus]]+Yhteenveto[[#This Row],[Kotikuntakorvaus, netto (ei päivitetty)]]</f>
        <v>5126567.0753868259</v>
      </c>
      <c r="S184" s="11"/>
      <c r="T184"/>
    </row>
    <row r="185" spans="1:20" ht="15">
      <c r="A185" s="32">
        <v>588</v>
      </c>
      <c r="B185" s="13" t="s">
        <v>190</v>
      </c>
      <c r="C185" s="15">
        <v>1577</v>
      </c>
      <c r="D185" s="15">
        <v>1537057.45</v>
      </c>
      <c r="E185" s="15">
        <v>633137.57631177455</v>
      </c>
      <c r="F185" s="231">
        <f>Yhteenveto[[#This Row],[Ikärakenne, laskennallinen kustannus]]+Yhteenveto[[#This Row],[Muut laskennalliset kustannukset ]]</f>
        <v>2170195.0263117747</v>
      </c>
      <c r="G185" s="508">
        <v>1422.47</v>
      </c>
      <c r="H185" s="17">
        <v>2243235.19</v>
      </c>
      <c r="I185" s="339">
        <f>Yhteenveto[[#This Row],[Laskennalliset kustannukset yhteensä]]-Yhteenveto[[#This Row],[Omarahoitusosuus, €]]</f>
        <v>-73040.163688225206</v>
      </c>
      <c r="J185" s="33">
        <v>228217.98493929792</v>
      </c>
      <c r="K185" s="34">
        <v>-1032231.503465362</v>
      </c>
      <c r="L185" s="231">
        <f>Yhteenveto[[#This Row],[Valtionosuus omarahoitusosuuden jälkeen (välisumma)]]+Yhteenveto[[#This Row],[Lisäosat yhteensä]]+Yhteenveto[[#This Row],[Valtionosuuteen tehtävät vähennykset ja lisäykset, netto]]</f>
        <v>-877053.68221428932</v>
      </c>
      <c r="M185" s="34">
        <v>533513.3337626193</v>
      </c>
      <c r="N185" s="303">
        <f>SUM(Yhteenveto[[#This Row],[Valtionosuus ennen verotuloihin perustuvaa valtionosuuden tasausta]]+Yhteenveto[[#This Row],[Verotuloihin perustuva valtionosuuden tasaus]])</f>
        <v>-343540.34845167003</v>
      </c>
      <c r="O185" s="241">
        <v>294858.77341862308</v>
      </c>
      <c r="P185" s="372">
        <f>SUM(Yhteenveto[[#This Row],[Kunnan  peruspalvelujen valtionosuus ]:[Veroperustemuutoksista johtuvien veromenetysten korvaus]])</f>
        <v>-48681.575033046945</v>
      </c>
      <c r="Q185" s="34">
        <v>-10055.069000000003</v>
      </c>
      <c r="R185" s="341">
        <f>+Yhteenveto[[#This Row],[Kunnan  peruspalvelujen valtionosuus ]]+Yhteenveto[[#This Row],[Veroperustemuutoksista johtuvien veromenetysten korvaus]]+Yhteenveto[[#This Row],[Kotikuntakorvaus, netto (ei päivitetty)]]</f>
        <v>-58736.644033046949</v>
      </c>
      <c r="S185" s="11"/>
      <c r="T185"/>
    </row>
    <row r="186" spans="1:20" ht="15">
      <c r="A186" s="32">
        <v>592</v>
      </c>
      <c r="B186" s="13" t="s">
        <v>191</v>
      </c>
      <c r="C186" s="15">
        <v>3596</v>
      </c>
      <c r="D186" s="15">
        <v>6211853.4099999992</v>
      </c>
      <c r="E186" s="15">
        <v>970038.04299853416</v>
      </c>
      <c r="F186" s="231">
        <f>Yhteenveto[[#This Row],[Ikärakenne, laskennallinen kustannus]]+Yhteenveto[[#This Row],[Muut laskennalliset kustannukset ]]</f>
        <v>7181891.4529985338</v>
      </c>
      <c r="G186" s="508">
        <v>1422.47</v>
      </c>
      <c r="H186" s="17">
        <v>5115202.12</v>
      </c>
      <c r="I186" s="339">
        <f>Yhteenveto[[#This Row],[Laskennalliset kustannukset yhteensä]]-Yhteenveto[[#This Row],[Omarahoitusosuus, €]]</f>
        <v>2066689.3329985337</v>
      </c>
      <c r="J186" s="33">
        <v>197641.13345358204</v>
      </c>
      <c r="K186" s="34">
        <v>-862715.66739191511</v>
      </c>
      <c r="L186" s="231">
        <f>Yhteenveto[[#This Row],[Valtionosuus omarahoitusosuuden jälkeen (välisumma)]]+Yhteenveto[[#This Row],[Lisäosat yhteensä]]+Yhteenveto[[#This Row],[Valtionosuuteen tehtävät vähennykset ja lisäykset, netto]]</f>
        <v>1401614.7990602006</v>
      </c>
      <c r="M186" s="34">
        <v>1843392.4138211166</v>
      </c>
      <c r="N186" s="303">
        <f>SUM(Yhteenveto[[#This Row],[Valtionosuus ennen verotuloihin perustuvaa valtionosuuden tasausta]]+Yhteenveto[[#This Row],[Verotuloihin perustuva valtionosuuden tasaus]])</f>
        <v>3245007.2128813174</v>
      </c>
      <c r="O186" s="241">
        <v>395032.66715588805</v>
      </c>
      <c r="P186" s="372">
        <f>SUM(Yhteenveto[[#This Row],[Kunnan  peruspalvelujen valtionosuus ]:[Veroperustemuutoksista johtuvien veromenetysten korvaus]])</f>
        <v>3640039.8800372053</v>
      </c>
      <c r="Q186" s="34">
        <v>127329.39750000001</v>
      </c>
      <c r="R186" s="341">
        <f>+Yhteenveto[[#This Row],[Kunnan  peruspalvelujen valtionosuus ]]+Yhteenveto[[#This Row],[Veroperustemuutoksista johtuvien veromenetysten korvaus]]+Yhteenveto[[#This Row],[Kotikuntakorvaus, netto (ei päivitetty)]]</f>
        <v>3767369.2775372053</v>
      </c>
      <c r="S186" s="11"/>
      <c r="T186"/>
    </row>
    <row r="187" spans="1:20" ht="15">
      <c r="A187" s="32">
        <v>593</v>
      </c>
      <c r="B187" s="13" t="s">
        <v>192</v>
      </c>
      <c r="C187" s="15">
        <v>17050</v>
      </c>
      <c r="D187" s="15">
        <v>19606115.330000002</v>
      </c>
      <c r="E187" s="15">
        <v>5142119.9964843029</v>
      </c>
      <c r="F187" s="231">
        <f>Yhteenveto[[#This Row],[Ikärakenne, laskennallinen kustannus]]+Yhteenveto[[#This Row],[Muut laskennalliset kustannukset ]]</f>
        <v>24748235.326484304</v>
      </c>
      <c r="G187" s="508">
        <v>1422.47</v>
      </c>
      <c r="H187" s="17">
        <v>24253113.5</v>
      </c>
      <c r="I187" s="339">
        <f>Yhteenveto[[#This Row],[Laskennalliset kustannukset yhteensä]]-Yhteenveto[[#This Row],[Omarahoitusosuus, €]]</f>
        <v>495121.82648430392</v>
      </c>
      <c r="J187" s="33">
        <v>580711.0270957076</v>
      </c>
      <c r="K187" s="34">
        <v>-3688440.9464349593</v>
      </c>
      <c r="L187" s="231">
        <f>Yhteenveto[[#This Row],[Valtionosuus omarahoitusosuuden jälkeen (välisumma)]]+Yhteenveto[[#This Row],[Lisäosat yhteensä]]+Yhteenveto[[#This Row],[Valtionosuuteen tehtävät vähennykset ja lisäykset, netto]]</f>
        <v>-2612608.0928549478</v>
      </c>
      <c r="M187" s="34">
        <v>6911063.3634802829</v>
      </c>
      <c r="N187" s="303">
        <f>SUM(Yhteenveto[[#This Row],[Valtionosuus ennen verotuloihin perustuvaa valtionosuuden tasausta]]+Yhteenveto[[#This Row],[Verotuloihin perustuva valtionosuuden tasaus]])</f>
        <v>4298455.2706253352</v>
      </c>
      <c r="O187" s="241">
        <v>2168746.0143515416</v>
      </c>
      <c r="P187" s="372">
        <f>SUM(Yhteenveto[[#This Row],[Kunnan  peruspalvelujen valtionosuus ]:[Veroperustemuutoksista johtuvien veromenetysten korvaus]])</f>
        <v>6467201.2849768773</v>
      </c>
      <c r="Q187" s="34">
        <v>-246811.66399999987</v>
      </c>
      <c r="R187" s="341">
        <f>+Yhteenveto[[#This Row],[Kunnan  peruspalvelujen valtionosuus ]]+Yhteenveto[[#This Row],[Veroperustemuutoksista johtuvien veromenetysten korvaus]]+Yhteenveto[[#This Row],[Kotikuntakorvaus, netto (ei päivitetty)]]</f>
        <v>6220389.6209768774</v>
      </c>
      <c r="S187" s="11"/>
      <c r="T187"/>
    </row>
    <row r="188" spans="1:20" ht="15">
      <c r="A188" s="32">
        <v>595</v>
      </c>
      <c r="B188" s="13" t="s">
        <v>193</v>
      </c>
      <c r="C188" s="15">
        <v>4073</v>
      </c>
      <c r="D188" s="15">
        <v>5058279.4999999991</v>
      </c>
      <c r="E188" s="15">
        <v>1548234.5270400839</v>
      </c>
      <c r="F188" s="231">
        <f>Yhteenveto[[#This Row],[Ikärakenne, laskennallinen kustannus]]+Yhteenveto[[#This Row],[Muut laskennalliset kustannukset ]]</f>
        <v>6606514.027040083</v>
      </c>
      <c r="G188" s="508">
        <v>1422.47</v>
      </c>
      <c r="H188" s="17">
        <v>5793720.3100000005</v>
      </c>
      <c r="I188" s="339">
        <f>Yhteenveto[[#This Row],[Laskennalliset kustannukset yhteensä]]-Yhteenveto[[#This Row],[Omarahoitusosuus, €]]</f>
        <v>812793.71704008244</v>
      </c>
      <c r="J188" s="33">
        <v>640609.08419976861</v>
      </c>
      <c r="K188" s="34">
        <v>908568.39586676378</v>
      </c>
      <c r="L188" s="231">
        <f>Yhteenveto[[#This Row],[Valtionosuus omarahoitusosuuden jälkeen (välisumma)]]+Yhteenveto[[#This Row],[Lisäosat yhteensä]]+Yhteenveto[[#This Row],[Valtionosuuteen tehtävät vähennykset ja lisäykset, netto]]</f>
        <v>2361971.1971066147</v>
      </c>
      <c r="M188" s="34">
        <v>2588820.4285121355</v>
      </c>
      <c r="N188" s="303">
        <f>SUM(Yhteenveto[[#This Row],[Valtionosuus ennen verotuloihin perustuvaa valtionosuuden tasausta]]+Yhteenveto[[#This Row],[Verotuloihin perustuva valtionosuuden tasaus]])</f>
        <v>4950791.6256187502</v>
      </c>
      <c r="O188" s="241">
        <v>741706.25903257914</v>
      </c>
      <c r="P188" s="372">
        <f>SUM(Yhteenveto[[#This Row],[Kunnan  peruspalvelujen valtionosuus ]:[Veroperustemuutoksista johtuvien veromenetysten korvaus]])</f>
        <v>5692497.8846513294</v>
      </c>
      <c r="Q188" s="34">
        <v>130089.31999999999</v>
      </c>
      <c r="R188" s="341">
        <f>+Yhteenveto[[#This Row],[Kunnan  peruspalvelujen valtionosuus ]]+Yhteenveto[[#This Row],[Veroperustemuutoksista johtuvien veromenetysten korvaus]]+Yhteenveto[[#This Row],[Kotikuntakorvaus, netto (ei päivitetty)]]</f>
        <v>5822587.2046513297</v>
      </c>
      <c r="S188" s="11"/>
      <c r="T188"/>
    </row>
    <row r="189" spans="1:20" ht="15">
      <c r="A189" s="32">
        <v>598</v>
      </c>
      <c r="B189" s="13" t="s">
        <v>194</v>
      </c>
      <c r="C189" s="15">
        <v>19475</v>
      </c>
      <c r="D189" s="15">
        <v>29366336.200000003</v>
      </c>
      <c r="E189" s="15">
        <v>11212281.324998876</v>
      </c>
      <c r="F189" s="231">
        <f>Yhteenveto[[#This Row],[Ikärakenne, laskennallinen kustannus]]+Yhteenveto[[#This Row],[Muut laskennalliset kustannukset ]]</f>
        <v>40578617.524998881</v>
      </c>
      <c r="G189" s="508">
        <v>1422.47</v>
      </c>
      <c r="H189" s="17">
        <v>27702603.25</v>
      </c>
      <c r="I189" s="339">
        <f>Yhteenveto[[#This Row],[Laskennalliset kustannukset yhteensä]]-Yhteenveto[[#This Row],[Omarahoitusosuus, €]]</f>
        <v>12876014.274998881</v>
      </c>
      <c r="J189" s="33">
        <v>786915.55105179048</v>
      </c>
      <c r="K189" s="34">
        <v>-11491012.443619188</v>
      </c>
      <c r="L189" s="231">
        <f>Yhteenveto[[#This Row],[Valtionosuus omarahoitusosuuden jälkeen (välisumma)]]+Yhteenveto[[#This Row],[Lisäosat yhteensä]]+Yhteenveto[[#This Row],[Valtionosuuteen tehtävät vähennykset ja lisäykset, netto]]</f>
        <v>2171917.3824314829</v>
      </c>
      <c r="M189" s="34">
        <v>1160136.7043869602</v>
      </c>
      <c r="N189" s="303">
        <f>SUM(Yhteenveto[[#This Row],[Valtionosuus ennen verotuloihin perustuvaa valtionosuuden tasausta]]+Yhteenveto[[#This Row],[Verotuloihin perustuva valtionosuuden tasaus]])</f>
        <v>3332054.0868184431</v>
      </c>
      <c r="O189" s="241">
        <v>1730684.605277091</v>
      </c>
      <c r="P189" s="372">
        <f>SUM(Yhteenveto[[#This Row],[Kunnan  peruspalvelujen valtionosuus ]:[Veroperustemuutoksista johtuvien veromenetysten korvaus]])</f>
        <v>5062738.6920955339</v>
      </c>
      <c r="Q189" s="34">
        <v>775836.59250000003</v>
      </c>
      <c r="R189" s="341">
        <f>+Yhteenveto[[#This Row],[Kunnan  peruspalvelujen valtionosuus ]]+Yhteenveto[[#This Row],[Veroperustemuutoksista johtuvien veromenetysten korvaus]]+Yhteenveto[[#This Row],[Kotikuntakorvaus, netto (ei päivitetty)]]</f>
        <v>5838575.2845955342</v>
      </c>
      <c r="S189" s="11"/>
      <c r="T189"/>
    </row>
    <row r="190" spans="1:20" ht="15">
      <c r="A190" s="32">
        <v>599</v>
      </c>
      <c r="B190" s="13" t="s">
        <v>195</v>
      </c>
      <c r="C190" s="15">
        <v>11225</v>
      </c>
      <c r="D190" s="15">
        <v>25151539.32</v>
      </c>
      <c r="E190" s="15">
        <v>4807914.6046798546</v>
      </c>
      <c r="F190" s="231">
        <f>Yhteenveto[[#This Row],[Ikärakenne, laskennallinen kustannus]]+Yhteenveto[[#This Row],[Muut laskennalliset kustannukset ]]</f>
        <v>29959453.924679853</v>
      </c>
      <c r="G190" s="508">
        <v>1422.47</v>
      </c>
      <c r="H190" s="17">
        <v>15967225.75</v>
      </c>
      <c r="I190" s="339">
        <f>Yhteenveto[[#This Row],[Laskennalliset kustannukset yhteensä]]-Yhteenveto[[#This Row],[Omarahoitusosuus, €]]</f>
        <v>13992228.174679853</v>
      </c>
      <c r="J190" s="33">
        <v>371649.70798360888</v>
      </c>
      <c r="K190" s="34">
        <v>-4439506.1212749304</v>
      </c>
      <c r="L190" s="231">
        <f>Yhteenveto[[#This Row],[Valtionosuus omarahoitusosuuden jälkeen (välisumma)]]+Yhteenveto[[#This Row],[Lisäosat yhteensä]]+Yhteenveto[[#This Row],[Valtionosuuteen tehtävät vähennykset ja lisäykset, netto]]</f>
        <v>9924371.7613885328</v>
      </c>
      <c r="M190" s="34">
        <v>4929625.9404181642</v>
      </c>
      <c r="N190" s="303">
        <f>SUM(Yhteenveto[[#This Row],[Valtionosuus ennen verotuloihin perustuvaa valtionosuuden tasausta]]+Yhteenveto[[#This Row],[Verotuloihin perustuva valtionosuuden tasaus]])</f>
        <v>14853997.701806698</v>
      </c>
      <c r="O190" s="241">
        <v>1179677.4086964517</v>
      </c>
      <c r="P190" s="372">
        <f>SUM(Yhteenveto[[#This Row],[Kunnan  peruspalvelujen valtionosuus ]:[Veroperustemuutoksista johtuvien veromenetysten korvaus]])</f>
        <v>16033675.11050315</v>
      </c>
      <c r="Q190" s="34">
        <v>-468515.49250000005</v>
      </c>
      <c r="R190" s="341">
        <f>+Yhteenveto[[#This Row],[Kunnan  peruspalvelujen valtionosuus ]]+Yhteenveto[[#This Row],[Veroperustemuutoksista johtuvien veromenetysten korvaus]]+Yhteenveto[[#This Row],[Kotikuntakorvaus, netto (ei päivitetty)]]</f>
        <v>15565159.61800315</v>
      </c>
      <c r="S190" s="11"/>
      <c r="T190"/>
    </row>
    <row r="191" spans="1:20" ht="15">
      <c r="A191" s="32">
        <v>601</v>
      </c>
      <c r="B191" s="13" t="s">
        <v>196</v>
      </c>
      <c r="C191" s="15">
        <v>3739</v>
      </c>
      <c r="D191" s="15">
        <v>5224896.0499999989</v>
      </c>
      <c r="E191" s="15">
        <v>1516965.5293717308</v>
      </c>
      <c r="F191" s="231">
        <f>Yhteenveto[[#This Row],[Ikärakenne, laskennallinen kustannus]]+Yhteenveto[[#This Row],[Muut laskennalliset kustannukset ]]</f>
        <v>6741861.5793717299</v>
      </c>
      <c r="G191" s="508">
        <v>1422.47</v>
      </c>
      <c r="H191" s="17">
        <v>5318615.33</v>
      </c>
      <c r="I191" s="339">
        <f>Yhteenveto[[#This Row],[Laskennalliset kustannukset yhteensä]]-Yhteenveto[[#This Row],[Omarahoitusosuus, €]]</f>
        <v>1423246.2493717298</v>
      </c>
      <c r="J191" s="33">
        <v>637565.31181933708</v>
      </c>
      <c r="K191" s="34">
        <v>1010029.7887025445</v>
      </c>
      <c r="L191" s="231">
        <f>Yhteenveto[[#This Row],[Valtionosuus omarahoitusosuuden jälkeen (välisumma)]]+Yhteenveto[[#This Row],[Lisäosat yhteensä]]+Yhteenveto[[#This Row],[Valtionosuuteen tehtävät vähennykset ja lisäykset, netto]]</f>
        <v>3070841.3498936114</v>
      </c>
      <c r="M191" s="34">
        <v>1524197.8136599949</v>
      </c>
      <c r="N191" s="303">
        <f>SUM(Yhteenveto[[#This Row],[Valtionosuus ennen verotuloihin perustuvaa valtionosuuden tasausta]]+Yhteenveto[[#This Row],[Verotuloihin perustuva valtionosuuden tasaus]])</f>
        <v>4595039.1635536067</v>
      </c>
      <c r="O191" s="241">
        <v>642657.24724067468</v>
      </c>
      <c r="P191" s="372">
        <f>SUM(Yhteenveto[[#This Row],[Kunnan  peruspalvelujen valtionosuus ]:[Veroperustemuutoksista johtuvien veromenetysten korvaus]])</f>
        <v>5237696.4107942814</v>
      </c>
      <c r="Q191" s="34">
        <v>-51573.25450000001</v>
      </c>
      <c r="R191" s="341">
        <f>+Yhteenveto[[#This Row],[Kunnan  peruspalvelujen valtionosuus ]]+Yhteenveto[[#This Row],[Veroperustemuutoksista johtuvien veromenetysten korvaus]]+Yhteenveto[[#This Row],[Kotikuntakorvaus, netto (ei päivitetty)]]</f>
        <v>5186123.1562942816</v>
      </c>
      <c r="S191" s="11"/>
      <c r="T191"/>
    </row>
    <row r="192" spans="1:20" ht="15">
      <c r="A192" s="32">
        <v>604</v>
      </c>
      <c r="B192" s="13" t="s">
        <v>197</v>
      </c>
      <c r="C192" s="15">
        <v>20763</v>
      </c>
      <c r="D192" s="15">
        <v>38383953.749999993</v>
      </c>
      <c r="E192" s="15">
        <v>3869051.1196032395</v>
      </c>
      <c r="F192" s="231">
        <f>Yhteenveto[[#This Row],[Ikärakenne, laskennallinen kustannus]]+Yhteenveto[[#This Row],[Muut laskennalliset kustannukset ]]</f>
        <v>42253004.869603232</v>
      </c>
      <c r="G192" s="508">
        <v>1422.47</v>
      </c>
      <c r="H192" s="17">
        <v>29534744.609999999</v>
      </c>
      <c r="I192" s="339">
        <f>Yhteenveto[[#This Row],[Laskennalliset kustannukset yhteensä]]-Yhteenveto[[#This Row],[Omarahoitusosuus, €]]</f>
        <v>12718260.259603232</v>
      </c>
      <c r="J192" s="33">
        <v>1112629.3260021689</v>
      </c>
      <c r="K192" s="34">
        <v>3782350.0018845373</v>
      </c>
      <c r="L192" s="231">
        <f>Yhteenveto[[#This Row],[Valtionosuus omarahoitusosuuden jälkeen (välisumma)]]+Yhteenveto[[#This Row],[Lisäosat yhteensä]]+Yhteenveto[[#This Row],[Valtionosuuteen tehtävät vähennykset ja lisäykset, netto]]</f>
        <v>17613239.58748994</v>
      </c>
      <c r="M192" s="34">
        <v>-499342.38582702278</v>
      </c>
      <c r="N192" s="303">
        <f>SUM(Yhteenveto[[#This Row],[Valtionosuus ennen verotuloihin perustuvaa valtionosuuden tasausta]]+Yhteenveto[[#This Row],[Verotuloihin perustuva valtionosuuden tasaus]])</f>
        <v>17113897.201662917</v>
      </c>
      <c r="O192" s="241">
        <v>933585.56476083258</v>
      </c>
      <c r="P192" s="372">
        <f>SUM(Yhteenveto[[#This Row],[Kunnan  peruspalvelujen valtionosuus ]:[Veroperustemuutoksista johtuvien veromenetysten korvaus]])</f>
        <v>18047482.766423751</v>
      </c>
      <c r="Q192" s="34">
        <v>-696729.75439999998</v>
      </c>
      <c r="R192" s="341">
        <f>+Yhteenveto[[#This Row],[Kunnan  peruspalvelujen valtionosuus ]]+Yhteenveto[[#This Row],[Veroperustemuutoksista johtuvien veromenetysten korvaus]]+Yhteenveto[[#This Row],[Kotikuntakorvaus, netto (ei päivitetty)]]</f>
        <v>17350753.012023751</v>
      </c>
      <c r="S192" s="11"/>
      <c r="T192"/>
    </row>
    <row r="193" spans="1:20" ht="15">
      <c r="A193" s="32">
        <v>607</v>
      </c>
      <c r="B193" s="13" t="s">
        <v>198</v>
      </c>
      <c r="C193" s="15">
        <v>4064</v>
      </c>
      <c r="D193" s="15">
        <v>5338003.42</v>
      </c>
      <c r="E193" s="15">
        <v>1394151.0287348204</v>
      </c>
      <c r="F193" s="231">
        <f>Yhteenveto[[#This Row],[Ikärakenne, laskennallinen kustannus]]+Yhteenveto[[#This Row],[Muut laskennalliset kustannukset ]]</f>
        <v>6732154.4487348199</v>
      </c>
      <c r="G193" s="508">
        <v>1422.47</v>
      </c>
      <c r="H193" s="17">
        <v>5780918.0800000001</v>
      </c>
      <c r="I193" s="339">
        <f>Yhteenveto[[#This Row],[Laskennalliset kustannukset yhteensä]]-Yhteenveto[[#This Row],[Omarahoitusosuus, €]]</f>
        <v>951236.36873481981</v>
      </c>
      <c r="J193" s="33">
        <v>281590.32052071684</v>
      </c>
      <c r="K193" s="34">
        <v>-841487.85794284381</v>
      </c>
      <c r="L193" s="231">
        <f>Yhteenveto[[#This Row],[Valtionosuus omarahoitusosuuden jälkeen (välisumma)]]+Yhteenveto[[#This Row],[Lisäosat yhteensä]]+Yhteenveto[[#This Row],[Valtionosuuteen tehtävät vähennykset ja lisäykset, netto]]</f>
        <v>391338.83131269272</v>
      </c>
      <c r="M193" s="34">
        <v>2556800.212075776</v>
      </c>
      <c r="N193" s="303">
        <f>SUM(Yhteenveto[[#This Row],[Valtionosuus ennen verotuloihin perustuvaa valtionosuuden tasausta]]+Yhteenveto[[#This Row],[Verotuloihin perustuva valtionosuuden tasaus]])</f>
        <v>2948139.0433884687</v>
      </c>
      <c r="O193" s="241">
        <v>711675.68918198172</v>
      </c>
      <c r="P193" s="372">
        <f>SUM(Yhteenveto[[#This Row],[Kunnan  peruspalvelujen valtionosuus ]:[Veroperustemuutoksista johtuvien veromenetysten korvaus]])</f>
        <v>3659814.7325704503</v>
      </c>
      <c r="Q193" s="34">
        <v>-46247.350000000006</v>
      </c>
      <c r="R193" s="341">
        <f>+Yhteenveto[[#This Row],[Kunnan  peruspalvelujen valtionosuus ]]+Yhteenveto[[#This Row],[Veroperustemuutoksista johtuvien veromenetysten korvaus]]+Yhteenveto[[#This Row],[Kotikuntakorvaus, netto (ei päivitetty)]]</f>
        <v>3613567.3825704502</v>
      </c>
      <c r="S193" s="11"/>
      <c r="T193"/>
    </row>
    <row r="194" spans="1:20" ht="15">
      <c r="A194" s="32">
        <v>608</v>
      </c>
      <c r="B194" s="13" t="s">
        <v>199</v>
      </c>
      <c r="C194" s="15">
        <v>1943</v>
      </c>
      <c r="D194" s="15">
        <v>2609411.7599999998</v>
      </c>
      <c r="E194" s="15">
        <v>522413.16753387451</v>
      </c>
      <c r="F194" s="231">
        <f>Yhteenveto[[#This Row],[Ikärakenne, laskennallinen kustannus]]+Yhteenveto[[#This Row],[Muut laskennalliset kustannukset ]]</f>
        <v>3131824.9275338743</v>
      </c>
      <c r="G194" s="508">
        <v>1422.47</v>
      </c>
      <c r="H194" s="17">
        <v>2763859.21</v>
      </c>
      <c r="I194" s="339">
        <f>Yhteenveto[[#This Row],[Laskennalliset kustannukset yhteensä]]-Yhteenveto[[#This Row],[Omarahoitusosuus, €]]</f>
        <v>367965.71753387433</v>
      </c>
      <c r="J194" s="33">
        <v>62130.909367120963</v>
      </c>
      <c r="K194" s="34">
        <v>-381612.55788843473</v>
      </c>
      <c r="L194" s="231">
        <f>Yhteenveto[[#This Row],[Valtionosuus omarahoitusosuuden jälkeen (välisumma)]]+Yhteenveto[[#This Row],[Lisäosat yhteensä]]+Yhteenveto[[#This Row],[Valtionosuuteen tehtävät vähennykset ja lisäykset, netto]]</f>
        <v>48484.069012560532</v>
      </c>
      <c r="M194" s="34">
        <v>1072884.6661049153</v>
      </c>
      <c r="N194" s="303">
        <f>SUM(Yhteenveto[[#This Row],[Valtionosuus ennen verotuloihin perustuvaa valtionosuuden tasausta]]+Yhteenveto[[#This Row],[Verotuloihin perustuva valtionosuuden tasaus]])</f>
        <v>1121368.735117476</v>
      </c>
      <c r="O194" s="241">
        <v>275303.81752427155</v>
      </c>
      <c r="P194" s="372">
        <f>SUM(Yhteenveto[[#This Row],[Kunnan  peruspalvelujen valtionosuus ]:[Veroperustemuutoksista johtuvien veromenetysten korvaus]])</f>
        <v>1396672.5526417475</v>
      </c>
      <c r="Q194" s="34">
        <v>-2983.6999999999971</v>
      </c>
      <c r="R194" s="341">
        <f>+Yhteenveto[[#This Row],[Kunnan  peruspalvelujen valtionosuus ]]+Yhteenveto[[#This Row],[Veroperustemuutoksista johtuvien veromenetysten korvaus]]+Yhteenveto[[#This Row],[Kotikuntakorvaus, netto (ei päivitetty)]]</f>
        <v>1393688.8526417476</v>
      </c>
      <c r="S194" s="11"/>
      <c r="T194"/>
    </row>
    <row r="195" spans="1:20" ht="15">
      <c r="A195" s="32">
        <v>609</v>
      </c>
      <c r="B195" s="13" t="s">
        <v>200</v>
      </c>
      <c r="C195" s="15">
        <v>83106</v>
      </c>
      <c r="D195" s="15">
        <v>112823723.66</v>
      </c>
      <c r="E195" s="15">
        <v>22882936.661054533</v>
      </c>
      <c r="F195" s="231">
        <f>Yhteenveto[[#This Row],[Ikärakenne, laskennallinen kustannus]]+Yhteenveto[[#This Row],[Muut laskennalliset kustannukset ]]</f>
        <v>135706660.32105452</v>
      </c>
      <c r="G195" s="508">
        <v>1422.47</v>
      </c>
      <c r="H195" s="17">
        <v>118215791.82000001</v>
      </c>
      <c r="I195" s="339">
        <f>Yhteenveto[[#This Row],[Laskennalliset kustannukset yhteensä]]-Yhteenveto[[#This Row],[Omarahoitusosuus, €]]</f>
        <v>17490868.50105451</v>
      </c>
      <c r="J195" s="33">
        <v>2851180.6924405182</v>
      </c>
      <c r="K195" s="34">
        <v>-24197703.024079785</v>
      </c>
      <c r="L195" s="231">
        <f>Yhteenveto[[#This Row],[Valtionosuus omarahoitusosuuden jälkeen (välisumma)]]+Yhteenveto[[#This Row],[Lisäosat yhteensä]]+Yhteenveto[[#This Row],[Valtionosuuteen tehtävät vähennykset ja lisäykset, netto]]</f>
        <v>-3855653.830584757</v>
      </c>
      <c r="M195" s="34">
        <v>22384720.108630672</v>
      </c>
      <c r="N195" s="303">
        <f>SUM(Yhteenveto[[#This Row],[Valtionosuus ennen verotuloihin perustuvaa valtionosuuden tasausta]]+Yhteenveto[[#This Row],[Verotuloihin perustuva valtionosuuden tasaus]])</f>
        <v>18529066.278045915</v>
      </c>
      <c r="O195" s="241">
        <v>8302878.5981981605</v>
      </c>
      <c r="P195" s="372">
        <f>SUM(Yhteenveto[[#This Row],[Kunnan  peruspalvelujen valtionosuus ]:[Veroperustemuutoksista johtuvien veromenetysten korvaus]])</f>
        <v>26831944.876244076</v>
      </c>
      <c r="Q195" s="34">
        <v>-2762170.7179499986</v>
      </c>
      <c r="R195" s="341">
        <f>+Yhteenveto[[#This Row],[Kunnan  peruspalvelujen valtionosuus ]]+Yhteenveto[[#This Row],[Veroperustemuutoksista johtuvien veromenetysten korvaus]]+Yhteenveto[[#This Row],[Kotikuntakorvaus, netto (ei päivitetty)]]</f>
        <v>24069774.158294078</v>
      </c>
      <c r="S195" s="11"/>
      <c r="T195"/>
    </row>
    <row r="196" spans="1:20" ht="15">
      <c r="A196" s="32">
        <v>611</v>
      </c>
      <c r="B196" s="13" t="s">
        <v>201</v>
      </c>
      <c r="C196" s="15">
        <v>4973</v>
      </c>
      <c r="D196" s="15">
        <v>8978238.0299999993</v>
      </c>
      <c r="E196" s="15">
        <v>982734.58586917724</v>
      </c>
      <c r="F196" s="231">
        <f>Yhteenveto[[#This Row],[Ikärakenne, laskennallinen kustannus]]+Yhteenveto[[#This Row],[Muut laskennalliset kustannukset ]]</f>
        <v>9960972.6158691756</v>
      </c>
      <c r="G196" s="508">
        <v>1422.47</v>
      </c>
      <c r="H196" s="17">
        <v>7073943.3100000005</v>
      </c>
      <c r="I196" s="339">
        <f>Yhteenveto[[#This Row],[Laskennalliset kustannukset yhteensä]]-Yhteenveto[[#This Row],[Omarahoitusosuus, €]]</f>
        <v>2887029.3058691751</v>
      </c>
      <c r="J196" s="33">
        <v>115942.55036553998</v>
      </c>
      <c r="K196" s="34">
        <v>74702.498877933511</v>
      </c>
      <c r="L196" s="231">
        <f>Yhteenveto[[#This Row],[Valtionosuus omarahoitusosuuden jälkeen (välisumma)]]+Yhteenveto[[#This Row],[Lisäosat yhteensä]]+Yhteenveto[[#This Row],[Valtionosuuteen tehtävät vähennykset ja lisäykset, netto]]</f>
        <v>3077674.355112649</v>
      </c>
      <c r="M196" s="34">
        <v>1179049.2385084666</v>
      </c>
      <c r="N196" s="303">
        <f>SUM(Yhteenveto[[#This Row],[Valtionosuus ennen verotuloihin perustuvaa valtionosuuden tasausta]]+Yhteenveto[[#This Row],[Verotuloihin perustuva valtionosuuden tasaus]])</f>
        <v>4256723.5936211161</v>
      </c>
      <c r="O196" s="241">
        <v>399029.7061257516</v>
      </c>
      <c r="P196" s="372">
        <f>SUM(Yhteenveto[[#This Row],[Kunnan  peruspalvelujen valtionosuus ]:[Veroperustemuutoksista johtuvien veromenetysten korvaus]])</f>
        <v>4655753.2997468673</v>
      </c>
      <c r="Q196" s="34">
        <v>113649.13299999997</v>
      </c>
      <c r="R196" s="341">
        <f>+Yhteenveto[[#This Row],[Kunnan  peruspalvelujen valtionosuus ]]+Yhteenveto[[#This Row],[Veroperustemuutoksista johtuvien veromenetysten korvaus]]+Yhteenveto[[#This Row],[Kotikuntakorvaus, netto (ei päivitetty)]]</f>
        <v>4769402.4327468676</v>
      </c>
      <c r="S196" s="11"/>
      <c r="T196"/>
    </row>
    <row r="197" spans="1:20" ht="15">
      <c r="A197" s="32">
        <v>614</v>
      </c>
      <c r="B197" s="13" t="s">
        <v>202</v>
      </c>
      <c r="C197" s="15">
        <v>2923</v>
      </c>
      <c r="D197" s="15">
        <v>2445701.56</v>
      </c>
      <c r="E197" s="15">
        <v>2984756.453678681</v>
      </c>
      <c r="F197" s="231">
        <f>Yhteenveto[[#This Row],[Ikärakenne, laskennallinen kustannus]]+Yhteenveto[[#This Row],[Muut laskennalliset kustannukset ]]</f>
        <v>5430458.0136786811</v>
      </c>
      <c r="G197" s="508">
        <v>1422.47</v>
      </c>
      <c r="H197" s="17">
        <v>4157879.81</v>
      </c>
      <c r="I197" s="339">
        <f>Yhteenveto[[#This Row],[Laskennalliset kustannukset yhteensä]]-Yhteenveto[[#This Row],[Omarahoitusosuus, €]]</f>
        <v>1272578.203678681</v>
      </c>
      <c r="J197" s="33">
        <v>1112946.5104686925</v>
      </c>
      <c r="K197" s="34">
        <v>-986716.18012342323</v>
      </c>
      <c r="L197" s="231">
        <f>Yhteenveto[[#This Row],[Valtionosuus omarahoitusosuuden jälkeen (välisumma)]]+Yhteenveto[[#This Row],[Lisäosat yhteensä]]+Yhteenveto[[#This Row],[Valtionosuuteen tehtävät vähennykset ja lisäykset, netto]]</f>
        <v>1398808.5340239503</v>
      </c>
      <c r="M197" s="34">
        <v>1533381.991805095</v>
      </c>
      <c r="N197" s="303">
        <f>SUM(Yhteenveto[[#This Row],[Valtionosuus ennen verotuloihin perustuvaa valtionosuuden tasausta]]+Yhteenveto[[#This Row],[Verotuloihin perustuva valtionosuuden tasaus]])</f>
        <v>2932190.5258290451</v>
      </c>
      <c r="O197" s="241">
        <v>604003.98509200918</v>
      </c>
      <c r="P197" s="372">
        <f>SUM(Yhteenveto[[#This Row],[Kunnan  peruspalvelujen valtionosuus ]:[Veroperustemuutoksista johtuvien veromenetysten korvaus]])</f>
        <v>3536194.5109210545</v>
      </c>
      <c r="Q197" s="34">
        <v>-11934.800000000001</v>
      </c>
      <c r="R197" s="341">
        <f>+Yhteenveto[[#This Row],[Kunnan  peruspalvelujen valtionosuus ]]+Yhteenveto[[#This Row],[Veroperustemuutoksista johtuvien veromenetysten korvaus]]+Yhteenveto[[#This Row],[Kotikuntakorvaus, netto (ei päivitetty)]]</f>
        <v>3524259.7109210547</v>
      </c>
      <c r="S197" s="11"/>
      <c r="T197"/>
    </row>
    <row r="198" spans="1:20" ht="15">
      <c r="A198" s="32">
        <v>615</v>
      </c>
      <c r="B198" s="13" t="s">
        <v>203</v>
      </c>
      <c r="C198" s="15">
        <v>7479</v>
      </c>
      <c r="D198" s="15">
        <v>11103177.9</v>
      </c>
      <c r="E198" s="15">
        <v>6196322.0241256244</v>
      </c>
      <c r="F198" s="231">
        <f>Yhteenveto[[#This Row],[Ikärakenne, laskennallinen kustannus]]+Yhteenveto[[#This Row],[Muut laskennalliset kustannukset ]]</f>
        <v>17299499.924125627</v>
      </c>
      <c r="G198" s="508">
        <v>1422.47</v>
      </c>
      <c r="H198" s="17">
        <v>10638653.130000001</v>
      </c>
      <c r="I198" s="339">
        <f>Yhteenveto[[#This Row],[Laskennalliset kustannukset yhteensä]]-Yhteenveto[[#This Row],[Omarahoitusosuus, €]]</f>
        <v>6660846.7941256259</v>
      </c>
      <c r="J198" s="33">
        <v>2427664.2488748003</v>
      </c>
      <c r="K198" s="34">
        <v>1898104.6456744794</v>
      </c>
      <c r="L198" s="231">
        <f>Yhteenveto[[#This Row],[Valtionosuus omarahoitusosuuden jälkeen (välisumma)]]+Yhteenveto[[#This Row],[Lisäosat yhteensä]]+Yhteenveto[[#This Row],[Valtionosuuteen tehtävät vähennykset ja lisäykset, netto]]</f>
        <v>10986615.688674906</v>
      </c>
      <c r="M198" s="34">
        <v>4008027.9982309118</v>
      </c>
      <c r="N198" s="303">
        <f>SUM(Yhteenveto[[#This Row],[Valtionosuus ennen verotuloihin perustuvaa valtionosuuden tasausta]]+Yhteenveto[[#This Row],[Verotuloihin perustuva valtionosuuden tasaus]])</f>
        <v>14994643.686905818</v>
      </c>
      <c r="O198" s="241">
        <v>1112623.2746747392</v>
      </c>
      <c r="P198" s="372">
        <f>SUM(Yhteenveto[[#This Row],[Kunnan  peruspalvelujen valtionosuus ]:[Veroperustemuutoksista johtuvien veromenetysten korvaus]])</f>
        <v>16107266.961580558</v>
      </c>
      <c r="Q198" s="34">
        <v>9711.9435000000231</v>
      </c>
      <c r="R198" s="341">
        <f>+Yhteenveto[[#This Row],[Kunnan  peruspalvelujen valtionosuus ]]+Yhteenveto[[#This Row],[Veroperustemuutoksista johtuvien veromenetysten korvaus]]+Yhteenveto[[#This Row],[Kotikuntakorvaus, netto (ei päivitetty)]]</f>
        <v>16116978.905080557</v>
      </c>
      <c r="S198" s="11"/>
      <c r="T198"/>
    </row>
    <row r="199" spans="1:20" ht="15">
      <c r="A199" s="32">
        <v>616</v>
      </c>
      <c r="B199" s="13" t="s">
        <v>204</v>
      </c>
      <c r="C199" s="15">
        <v>1781</v>
      </c>
      <c r="D199" s="15">
        <v>2563165.34</v>
      </c>
      <c r="E199" s="15">
        <v>438733.302900907</v>
      </c>
      <c r="F199" s="231">
        <f>Yhteenveto[[#This Row],[Ikärakenne, laskennallinen kustannus]]+Yhteenveto[[#This Row],[Muut laskennalliset kustannukset ]]</f>
        <v>3001898.642900907</v>
      </c>
      <c r="G199" s="508">
        <v>1422.47</v>
      </c>
      <c r="H199" s="17">
        <v>2533419.0699999998</v>
      </c>
      <c r="I199" s="339">
        <f>Yhteenveto[[#This Row],[Laskennalliset kustannukset yhteensä]]-Yhteenveto[[#This Row],[Omarahoitusosuus, €]]</f>
        <v>468479.57290090714</v>
      </c>
      <c r="J199" s="33">
        <v>46211.766592780099</v>
      </c>
      <c r="K199" s="34">
        <v>-482442.72639377316</v>
      </c>
      <c r="L199" s="231">
        <f>Yhteenveto[[#This Row],[Valtionosuus omarahoitusosuuden jälkeen (välisumma)]]+Yhteenveto[[#This Row],[Lisäosat yhteensä]]+Yhteenveto[[#This Row],[Valtionosuuteen tehtävät vähennykset ja lisäykset, netto]]</f>
        <v>32248.613099914102</v>
      </c>
      <c r="M199" s="34">
        <v>736706.61086297955</v>
      </c>
      <c r="N199" s="303">
        <f>SUM(Yhteenveto[[#This Row],[Valtionosuus ennen verotuloihin perustuvaa valtionosuuden tasausta]]+Yhteenveto[[#This Row],[Verotuloihin perustuva valtionosuuden tasaus]])</f>
        <v>768955.22396289371</v>
      </c>
      <c r="O199" s="241">
        <v>253592.95207585779</v>
      </c>
      <c r="P199" s="372">
        <f>SUM(Yhteenveto[[#This Row],[Kunnan  peruspalvelujen valtionosuus ]:[Veroperustemuutoksista johtuvien veromenetysten korvaus]])</f>
        <v>1022548.1760387515</v>
      </c>
      <c r="Q199" s="34">
        <v>-657756.66500000004</v>
      </c>
      <c r="R199" s="341">
        <f>+Yhteenveto[[#This Row],[Kunnan  peruspalvelujen valtionosuus ]]+Yhteenveto[[#This Row],[Veroperustemuutoksista johtuvien veromenetysten korvaus]]+Yhteenveto[[#This Row],[Kotikuntakorvaus, netto (ei päivitetty)]]</f>
        <v>364791.51103875146</v>
      </c>
      <c r="S199" s="11"/>
      <c r="T199"/>
    </row>
    <row r="200" spans="1:20" ht="15">
      <c r="A200" s="32">
        <v>619</v>
      </c>
      <c r="B200" s="13" t="s">
        <v>205</v>
      </c>
      <c r="C200" s="15">
        <v>2650</v>
      </c>
      <c r="D200" s="15">
        <v>3187793.7800000003</v>
      </c>
      <c r="E200" s="15">
        <v>740749.86721264664</v>
      </c>
      <c r="F200" s="231">
        <f>Yhteenveto[[#This Row],[Ikärakenne, laskennallinen kustannus]]+Yhteenveto[[#This Row],[Muut laskennalliset kustannukset ]]</f>
        <v>3928543.6472126469</v>
      </c>
      <c r="G200" s="508">
        <v>1422.47</v>
      </c>
      <c r="H200" s="17">
        <v>3769545.5</v>
      </c>
      <c r="I200" s="339">
        <f>Yhteenveto[[#This Row],[Laskennalliset kustannukset yhteensä]]-Yhteenveto[[#This Row],[Omarahoitusosuus, €]]</f>
        <v>158998.1472126469</v>
      </c>
      <c r="J200" s="33">
        <v>158097.62471411692</v>
      </c>
      <c r="K200" s="34">
        <v>973503.13185213367</v>
      </c>
      <c r="L200" s="231">
        <f>Yhteenveto[[#This Row],[Valtionosuus omarahoitusosuuden jälkeen (välisumma)]]+Yhteenveto[[#This Row],[Lisäosat yhteensä]]+Yhteenveto[[#This Row],[Valtionosuuteen tehtävät vähennykset ja lisäykset, netto]]</f>
        <v>1290598.9037788976</v>
      </c>
      <c r="M200" s="34">
        <v>1659400.5086976343</v>
      </c>
      <c r="N200" s="303">
        <f>SUM(Yhteenveto[[#This Row],[Valtionosuus ennen verotuloihin perustuvaa valtionosuuden tasausta]]+Yhteenveto[[#This Row],[Verotuloihin perustuva valtionosuuden tasaus]])</f>
        <v>2949999.4124765322</v>
      </c>
      <c r="O200" s="241">
        <v>538352.62980728957</v>
      </c>
      <c r="P200" s="372">
        <f>SUM(Yhteenveto[[#This Row],[Kunnan  peruspalvelujen valtionosuus ]:[Veroperustemuutoksista johtuvien veromenetysten korvaus]])</f>
        <v>3488352.0422838219</v>
      </c>
      <c r="Q200" s="34">
        <v>207516.33500000002</v>
      </c>
      <c r="R200" s="341">
        <f>+Yhteenveto[[#This Row],[Kunnan  peruspalvelujen valtionosuus ]]+Yhteenveto[[#This Row],[Veroperustemuutoksista johtuvien veromenetysten korvaus]]+Yhteenveto[[#This Row],[Kotikuntakorvaus, netto (ei päivitetty)]]</f>
        <v>3695868.3772838218</v>
      </c>
      <c r="S200" s="11"/>
      <c r="T200"/>
    </row>
    <row r="201" spans="1:20" ht="15">
      <c r="A201" s="32">
        <v>620</v>
      </c>
      <c r="B201" s="13" t="s">
        <v>206</v>
      </c>
      <c r="C201" s="15">
        <v>2359</v>
      </c>
      <c r="D201" s="15">
        <v>2281665.8800000004</v>
      </c>
      <c r="E201" s="15">
        <v>2536101.9144681394</v>
      </c>
      <c r="F201" s="231">
        <f>Yhteenveto[[#This Row],[Ikärakenne, laskennallinen kustannus]]+Yhteenveto[[#This Row],[Muut laskennalliset kustannukset ]]</f>
        <v>4817767.7944681402</v>
      </c>
      <c r="G201" s="508">
        <v>1422.47</v>
      </c>
      <c r="H201" s="17">
        <v>3355606.73</v>
      </c>
      <c r="I201" s="339">
        <f>Yhteenveto[[#This Row],[Laskennalliset kustannukset yhteensä]]-Yhteenveto[[#This Row],[Omarahoitusosuus, €]]</f>
        <v>1462161.0644681402</v>
      </c>
      <c r="J201" s="33">
        <v>882417.57586693147</v>
      </c>
      <c r="K201" s="34">
        <v>600400.8501473075</v>
      </c>
      <c r="L201" s="231">
        <f>Yhteenveto[[#This Row],[Valtionosuus omarahoitusosuuden jälkeen (välisumma)]]+Yhteenveto[[#This Row],[Lisäosat yhteensä]]+Yhteenveto[[#This Row],[Valtionosuuteen tehtävät vähennykset ja lisäykset, netto]]</f>
        <v>2944979.4904823792</v>
      </c>
      <c r="M201" s="34">
        <v>1054321.4252971185</v>
      </c>
      <c r="N201" s="303">
        <f>SUM(Yhteenveto[[#This Row],[Valtionosuus ennen verotuloihin perustuvaa valtionosuuden tasausta]]+Yhteenveto[[#This Row],[Verotuloihin perustuva valtionosuuden tasaus]])</f>
        <v>3999300.9157794975</v>
      </c>
      <c r="O201" s="241">
        <v>473708.22518068325</v>
      </c>
      <c r="P201" s="372">
        <f>SUM(Yhteenveto[[#This Row],[Kunnan  peruspalvelujen valtionosuus ]:[Veroperustemuutoksista johtuvien veromenetysten korvaus]])</f>
        <v>4473009.1409601811</v>
      </c>
      <c r="Q201" s="34">
        <v>-34237.957500000011</v>
      </c>
      <c r="R201" s="341">
        <f>+Yhteenveto[[#This Row],[Kunnan  peruspalvelujen valtionosuus ]]+Yhteenveto[[#This Row],[Veroperustemuutoksista johtuvien veromenetysten korvaus]]+Yhteenveto[[#This Row],[Kotikuntakorvaus, netto (ei päivitetty)]]</f>
        <v>4438771.1834601816</v>
      </c>
      <c r="S201" s="11"/>
      <c r="T201"/>
    </row>
    <row r="202" spans="1:20" ht="15">
      <c r="A202" s="32">
        <v>623</v>
      </c>
      <c r="B202" s="13" t="s">
        <v>207</v>
      </c>
      <c r="C202" s="15">
        <v>2108</v>
      </c>
      <c r="D202" s="15">
        <v>1484941.28</v>
      </c>
      <c r="E202" s="15">
        <v>1826772.3888247528</v>
      </c>
      <c r="F202" s="231">
        <f>Yhteenveto[[#This Row],[Ikärakenne, laskennallinen kustannus]]+Yhteenveto[[#This Row],[Muut laskennalliset kustannukset ]]</f>
        <v>3311713.6688247528</v>
      </c>
      <c r="G202" s="508">
        <v>1422.47</v>
      </c>
      <c r="H202" s="17">
        <v>2998566.7600000002</v>
      </c>
      <c r="I202" s="339">
        <f>Yhteenveto[[#This Row],[Laskennalliset kustannukset yhteensä]]-Yhteenveto[[#This Row],[Omarahoitusosuus, €]]</f>
        <v>313146.90882475255</v>
      </c>
      <c r="J202" s="33">
        <v>767149.04984906898</v>
      </c>
      <c r="K202" s="34">
        <v>426932.72773153428</v>
      </c>
      <c r="L202" s="231">
        <f>Yhteenveto[[#This Row],[Valtionosuus omarahoitusosuuden jälkeen (välisumma)]]+Yhteenveto[[#This Row],[Lisäosat yhteensä]]+Yhteenveto[[#This Row],[Valtionosuuteen tehtävät vähennykset ja lisäykset, netto]]</f>
        <v>1507228.6864053558</v>
      </c>
      <c r="M202" s="34">
        <v>-51365.477911711932</v>
      </c>
      <c r="N202" s="303">
        <f>SUM(Yhteenveto[[#This Row],[Valtionosuus ennen verotuloihin perustuvaa valtionosuuden tasausta]]+Yhteenveto[[#This Row],[Verotuloihin perustuva valtionosuuden tasaus]])</f>
        <v>1455863.2084936439</v>
      </c>
      <c r="O202" s="241">
        <v>397022.13454298698</v>
      </c>
      <c r="P202" s="372">
        <f>SUM(Yhteenveto[[#This Row],[Kunnan  peruspalvelujen valtionosuus ]:[Veroperustemuutoksista johtuvien veromenetysten korvaus]])</f>
        <v>1852885.3430366309</v>
      </c>
      <c r="Q202" s="34">
        <v>-65641.400000000009</v>
      </c>
      <c r="R202" s="341">
        <f>+Yhteenveto[[#This Row],[Kunnan  peruspalvelujen valtionosuus ]]+Yhteenveto[[#This Row],[Veroperustemuutoksista johtuvien veromenetysten korvaus]]+Yhteenveto[[#This Row],[Kotikuntakorvaus, netto (ei päivitetty)]]</f>
        <v>1787243.943036631</v>
      </c>
      <c r="S202" s="11"/>
      <c r="T202"/>
    </row>
    <row r="203" spans="1:20" ht="15">
      <c r="A203" s="32">
        <v>624</v>
      </c>
      <c r="B203" s="13" t="s">
        <v>208</v>
      </c>
      <c r="C203" s="15">
        <v>5065</v>
      </c>
      <c r="D203" s="15">
        <v>7841341.4700000007</v>
      </c>
      <c r="E203" s="15">
        <v>1638171.6169530733</v>
      </c>
      <c r="F203" s="231">
        <f>Yhteenveto[[#This Row],[Ikärakenne, laskennallinen kustannus]]+Yhteenveto[[#This Row],[Muut laskennalliset kustannukset ]]</f>
        <v>9479513.0869530737</v>
      </c>
      <c r="G203" s="508">
        <v>1422.47</v>
      </c>
      <c r="H203" s="17">
        <v>7204810.5499999998</v>
      </c>
      <c r="I203" s="339">
        <f>Yhteenveto[[#This Row],[Laskennalliset kustannukset yhteensä]]-Yhteenveto[[#This Row],[Omarahoitusosuus, €]]</f>
        <v>2274702.5369530739</v>
      </c>
      <c r="J203" s="33">
        <v>131613.6096837793</v>
      </c>
      <c r="K203" s="34">
        <v>1088173.7941580054</v>
      </c>
      <c r="L203" s="231">
        <f>Yhteenveto[[#This Row],[Valtionosuus omarahoitusosuuden jälkeen (välisumma)]]+Yhteenveto[[#This Row],[Lisäosat yhteensä]]+Yhteenveto[[#This Row],[Valtionosuuteen tehtävät vähennykset ja lisäykset, netto]]</f>
        <v>3494489.9407948582</v>
      </c>
      <c r="M203" s="34">
        <v>981017.36816728266</v>
      </c>
      <c r="N203" s="303">
        <f>SUM(Yhteenveto[[#This Row],[Valtionosuus ennen verotuloihin perustuvaa valtionosuuden tasausta]]+Yhteenveto[[#This Row],[Verotuloihin perustuva valtionosuuden tasaus]])</f>
        <v>4475507.3089621412</v>
      </c>
      <c r="O203" s="241">
        <v>430280.65829648782</v>
      </c>
      <c r="P203" s="372">
        <f>SUM(Yhteenveto[[#This Row],[Kunnan  peruspalvelujen valtionosuus ]:[Veroperustemuutoksista johtuvien veromenetysten korvaus]])</f>
        <v>4905787.9672586294</v>
      </c>
      <c r="Q203" s="34">
        <v>-97492.39750000005</v>
      </c>
      <c r="R203" s="341">
        <f>+Yhteenveto[[#This Row],[Kunnan  peruspalvelujen valtionosuus ]]+Yhteenveto[[#This Row],[Veroperustemuutoksista johtuvien veromenetysten korvaus]]+Yhteenveto[[#This Row],[Kotikuntakorvaus, netto (ei päivitetty)]]</f>
        <v>4808295.5697586294</v>
      </c>
      <c r="S203" s="11"/>
      <c r="T203"/>
    </row>
    <row r="204" spans="1:20" ht="15">
      <c r="A204" s="32">
        <v>625</v>
      </c>
      <c r="B204" s="13" t="s">
        <v>209</v>
      </c>
      <c r="C204" s="15">
        <v>2980</v>
      </c>
      <c r="D204" s="15">
        <v>4928230.3400000008</v>
      </c>
      <c r="E204" s="15">
        <v>1082059.1213491478</v>
      </c>
      <c r="F204" s="231">
        <f>Yhteenveto[[#This Row],[Ikärakenne, laskennallinen kustannus]]+Yhteenveto[[#This Row],[Muut laskennalliset kustannukset ]]</f>
        <v>6010289.4613491483</v>
      </c>
      <c r="G204" s="508">
        <v>1422.47</v>
      </c>
      <c r="H204" s="17">
        <v>4238960.5999999996</v>
      </c>
      <c r="I204" s="339">
        <f>Yhteenveto[[#This Row],[Laskennalliset kustannukset yhteensä]]-Yhteenveto[[#This Row],[Omarahoitusosuus, €]]</f>
        <v>1771328.8613491487</v>
      </c>
      <c r="J204" s="33">
        <v>240628.66751312226</v>
      </c>
      <c r="K204" s="34">
        <v>1131670.6009641704</v>
      </c>
      <c r="L204" s="231">
        <f>Yhteenveto[[#This Row],[Valtionosuus omarahoitusosuuden jälkeen (välisumma)]]+Yhteenveto[[#This Row],[Lisäosat yhteensä]]+Yhteenveto[[#This Row],[Valtionosuuteen tehtävät vähennykset ja lisäykset, netto]]</f>
        <v>3143628.1298264414</v>
      </c>
      <c r="M204" s="34">
        <v>572605.04635872005</v>
      </c>
      <c r="N204" s="303">
        <f>SUM(Yhteenveto[[#This Row],[Valtionosuus ennen verotuloihin perustuvaa valtionosuuden tasausta]]+Yhteenveto[[#This Row],[Verotuloihin perustuva valtionosuuden tasaus]])</f>
        <v>3716233.1761851613</v>
      </c>
      <c r="O204" s="241">
        <v>389430.70773148828</v>
      </c>
      <c r="P204" s="372">
        <f>SUM(Yhteenveto[[#This Row],[Kunnan  peruspalvelujen valtionosuus ]:[Veroperustemuutoksista johtuvien veromenetysten korvaus]])</f>
        <v>4105663.8839166495</v>
      </c>
      <c r="Q204" s="34">
        <v>-4326.3650000000052</v>
      </c>
      <c r="R204" s="341">
        <f>+Yhteenveto[[#This Row],[Kunnan  peruspalvelujen valtionosuus ]]+Yhteenveto[[#This Row],[Veroperustemuutoksista johtuvien veromenetysten korvaus]]+Yhteenveto[[#This Row],[Kotikuntakorvaus, netto (ei päivitetty)]]</f>
        <v>4101337.5189166493</v>
      </c>
      <c r="S204" s="11"/>
      <c r="T204"/>
    </row>
    <row r="205" spans="1:20" ht="15">
      <c r="A205" s="32">
        <v>626</v>
      </c>
      <c r="B205" s="13" t="s">
        <v>210</v>
      </c>
      <c r="C205" s="15">
        <v>4756</v>
      </c>
      <c r="D205" s="15">
        <v>6648367.3099999996</v>
      </c>
      <c r="E205" s="15">
        <v>2013778.7845030436</v>
      </c>
      <c r="F205" s="231">
        <f>Yhteenveto[[#This Row],[Ikärakenne, laskennallinen kustannus]]+Yhteenveto[[#This Row],[Muut laskennalliset kustannukset ]]</f>
        <v>8662146.0945030432</v>
      </c>
      <c r="G205" s="508">
        <v>1422.47</v>
      </c>
      <c r="H205" s="17">
        <v>6765267.3200000003</v>
      </c>
      <c r="I205" s="339">
        <f>Yhteenveto[[#This Row],[Laskennalliset kustannukset yhteensä]]-Yhteenveto[[#This Row],[Omarahoitusosuus, €]]</f>
        <v>1896878.7745030429</v>
      </c>
      <c r="J205" s="33">
        <v>742890.80278523942</v>
      </c>
      <c r="K205" s="34">
        <v>-1578013.556873142</v>
      </c>
      <c r="L205" s="231">
        <f>Yhteenveto[[#This Row],[Valtionosuus omarahoitusosuuden jälkeen (välisumma)]]+Yhteenveto[[#This Row],[Lisäosat yhteensä]]+Yhteenveto[[#This Row],[Valtionosuuteen tehtävät vähennykset ja lisäykset, netto]]</f>
        <v>1061756.0204151401</v>
      </c>
      <c r="M205" s="34">
        <v>2353660.975707076</v>
      </c>
      <c r="N205" s="303">
        <f>SUM(Yhteenveto[[#This Row],[Valtionosuus ennen verotuloihin perustuvaa valtionosuuden tasausta]]+Yhteenveto[[#This Row],[Verotuloihin perustuva valtionosuuden tasaus]])</f>
        <v>3415416.9961222159</v>
      </c>
      <c r="O205" s="241">
        <v>685861.36446665041</v>
      </c>
      <c r="P205" s="372">
        <f>SUM(Yhteenveto[[#This Row],[Kunnan  peruspalvelujen valtionosuus ]:[Veroperustemuutoksista johtuvien veromenetysten korvaus]])</f>
        <v>4101278.3605888663</v>
      </c>
      <c r="Q205" s="34">
        <v>-6041.9925000000003</v>
      </c>
      <c r="R205" s="341">
        <f>+Yhteenveto[[#This Row],[Kunnan  peruspalvelujen valtionosuus ]]+Yhteenveto[[#This Row],[Veroperustemuutoksista johtuvien veromenetysten korvaus]]+Yhteenveto[[#This Row],[Kotikuntakorvaus, netto (ei päivitetty)]]</f>
        <v>4095236.3680888661</v>
      </c>
      <c r="S205" s="11"/>
      <c r="T205"/>
    </row>
    <row r="206" spans="1:20" ht="15">
      <c r="A206" s="32">
        <v>630</v>
      </c>
      <c r="B206" s="13" t="s">
        <v>211</v>
      </c>
      <c r="C206" s="15">
        <v>1646</v>
      </c>
      <c r="D206" s="15">
        <v>3407208.26</v>
      </c>
      <c r="E206" s="15">
        <v>1081302.8654291749</v>
      </c>
      <c r="F206" s="231">
        <f>Yhteenveto[[#This Row],[Ikärakenne, laskennallinen kustannus]]+Yhteenveto[[#This Row],[Muut laskennalliset kustannukset ]]</f>
        <v>4488511.1254291749</v>
      </c>
      <c r="G206" s="508">
        <v>1422.47</v>
      </c>
      <c r="H206" s="17">
        <v>2341385.62</v>
      </c>
      <c r="I206" s="339">
        <f>Yhteenveto[[#This Row],[Laskennalliset kustannukset yhteensä]]-Yhteenveto[[#This Row],[Omarahoitusosuus, €]]</f>
        <v>2147125.5054291748</v>
      </c>
      <c r="J206" s="33">
        <v>599534.35407791904</v>
      </c>
      <c r="K206" s="34">
        <v>-684590.67581980862</v>
      </c>
      <c r="L206" s="231">
        <f>Yhteenveto[[#This Row],[Valtionosuus omarahoitusosuuden jälkeen (välisumma)]]+Yhteenveto[[#This Row],[Lisäosat yhteensä]]+Yhteenveto[[#This Row],[Valtionosuuteen tehtävät vähennykset ja lisäykset, netto]]</f>
        <v>2062069.1836872851</v>
      </c>
      <c r="M206" s="34">
        <v>597732.8467108591</v>
      </c>
      <c r="N206" s="303">
        <f>SUM(Yhteenveto[[#This Row],[Valtionosuus ennen verotuloihin perustuvaa valtionosuuden tasausta]]+Yhteenveto[[#This Row],[Verotuloihin perustuva valtionosuuden tasaus]])</f>
        <v>2659802.0303981444</v>
      </c>
      <c r="O206" s="241">
        <v>192885.78793238977</v>
      </c>
      <c r="P206" s="372">
        <f>SUM(Yhteenveto[[#This Row],[Kunnan  peruspalvelujen valtionosuus ]:[Veroperustemuutoksista johtuvien veromenetysten korvaus]])</f>
        <v>2852687.8183305343</v>
      </c>
      <c r="Q206" s="34">
        <v>180513.85000000003</v>
      </c>
      <c r="R206" s="341">
        <f>+Yhteenveto[[#This Row],[Kunnan  peruspalvelujen valtionosuus ]]+Yhteenveto[[#This Row],[Veroperustemuutoksista johtuvien veromenetysten korvaus]]+Yhteenveto[[#This Row],[Kotikuntakorvaus, netto (ei päivitetty)]]</f>
        <v>3033201.6683305344</v>
      </c>
      <c r="S206" s="11"/>
      <c r="T206"/>
    </row>
    <row r="207" spans="1:20" ht="15">
      <c r="A207" s="32">
        <v>631</v>
      </c>
      <c r="B207" s="13" t="s">
        <v>212</v>
      </c>
      <c r="C207" s="15">
        <v>1930</v>
      </c>
      <c r="D207" s="15">
        <v>2832632.25</v>
      </c>
      <c r="E207" s="15">
        <v>462160.35547107115</v>
      </c>
      <c r="F207" s="231">
        <f>Yhteenveto[[#This Row],[Ikärakenne, laskennallinen kustannus]]+Yhteenveto[[#This Row],[Muut laskennalliset kustannukset ]]</f>
        <v>3294792.6054710713</v>
      </c>
      <c r="G207" s="508">
        <v>1422.47</v>
      </c>
      <c r="H207" s="17">
        <v>2745367.1</v>
      </c>
      <c r="I207" s="339">
        <f>Yhteenveto[[#This Row],[Laskennalliset kustannukset yhteensä]]-Yhteenveto[[#This Row],[Omarahoitusosuus, €]]</f>
        <v>549425.50547107123</v>
      </c>
      <c r="J207" s="33">
        <v>38830.759561750107</v>
      </c>
      <c r="K207" s="34">
        <v>235249.49837024309</v>
      </c>
      <c r="L207" s="231">
        <f>Yhteenveto[[#This Row],[Valtionosuus omarahoitusosuuden jälkeen (välisumma)]]+Yhteenveto[[#This Row],[Lisäosat yhteensä]]+Yhteenveto[[#This Row],[Valtionosuuteen tehtävät vähennykset ja lisäykset, netto]]</f>
        <v>823505.76340306445</v>
      </c>
      <c r="M207" s="34">
        <v>677317.43684942671</v>
      </c>
      <c r="N207" s="303">
        <f>SUM(Yhteenveto[[#This Row],[Valtionosuus ennen verotuloihin perustuvaa valtionosuuden tasausta]]+Yhteenveto[[#This Row],[Verotuloihin perustuva valtionosuuden tasaus]])</f>
        <v>1500823.200252491</v>
      </c>
      <c r="O207" s="241">
        <v>190737.84798615909</v>
      </c>
      <c r="P207" s="372">
        <f>SUM(Yhteenveto[[#This Row],[Kunnan  peruspalvelujen valtionosuus ]:[Veroperustemuutoksista johtuvien veromenetysten korvaus]])</f>
        <v>1691561.0482386502</v>
      </c>
      <c r="Q207" s="34">
        <v>-696947.56449999998</v>
      </c>
      <c r="R207" s="341">
        <f>+Yhteenveto[[#This Row],[Kunnan  peruspalvelujen valtionosuus ]]+Yhteenveto[[#This Row],[Veroperustemuutoksista johtuvien veromenetysten korvaus]]+Yhteenveto[[#This Row],[Kotikuntakorvaus, netto (ei päivitetty)]]</f>
        <v>994613.48373865022</v>
      </c>
      <c r="S207" s="11"/>
      <c r="T207"/>
    </row>
    <row r="208" spans="1:20" ht="15">
      <c r="A208" s="32">
        <v>635</v>
      </c>
      <c r="B208" s="13" t="s">
        <v>213</v>
      </c>
      <c r="C208" s="15">
        <v>6337</v>
      </c>
      <c r="D208" s="15">
        <v>8974756.2000000011</v>
      </c>
      <c r="E208" s="15">
        <v>1564095.7257055512</v>
      </c>
      <c r="F208" s="231">
        <f>Yhteenveto[[#This Row],[Ikärakenne, laskennallinen kustannus]]+Yhteenveto[[#This Row],[Muut laskennalliset kustannukset ]]</f>
        <v>10538851.925705552</v>
      </c>
      <c r="G208" s="508">
        <v>1422.47</v>
      </c>
      <c r="H208" s="17">
        <v>9014192.3900000006</v>
      </c>
      <c r="I208" s="339">
        <f>Yhteenveto[[#This Row],[Laskennalliset kustannukset yhteensä]]-Yhteenveto[[#This Row],[Omarahoitusosuus, €]]</f>
        <v>1524659.5357055515</v>
      </c>
      <c r="J208" s="33">
        <v>330366.3074631709</v>
      </c>
      <c r="K208" s="34">
        <v>-472890.31460432254</v>
      </c>
      <c r="L208" s="231">
        <f>Yhteenveto[[#This Row],[Valtionosuus omarahoitusosuuden jälkeen (välisumma)]]+Yhteenveto[[#This Row],[Lisäosat yhteensä]]+Yhteenveto[[#This Row],[Valtionosuuteen tehtävät vähennykset ja lisäykset, netto]]</f>
        <v>1382135.5285644</v>
      </c>
      <c r="M208" s="34">
        <v>2241298.4223364089</v>
      </c>
      <c r="N208" s="303">
        <f>SUM(Yhteenveto[[#This Row],[Valtionosuus ennen verotuloihin perustuvaa valtionosuuden tasausta]]+Yhteenveto[[#This Row],[Verotuloihin perustuva valtionosuuden tasaus]])</f>
        <v>3623433.9509008089</v>
      </c>
      <c r="O208" s="241">
        <v>821984.06107010157</v>
      </c>
      <c r="P208" s="372">
        <f>SUM(Yhteenveto[[#This Row],[Kunnan  peruspalvelujen valtionosuus ]:[Veroperustemuutoksista johtuvien veromenetysten korvaus]])</f>
        <v>4445418.0119709102</v>
      </c>
      <c r="Q208" s="34">
        <v>-472976.12399999995</v>
      </c>
      <c r="R208" s="341">
        <f>+Yhteenveto[[#This Row],[Kunnan  peruspalvelujen valtionosuus ]]+Yhteenveto[[#This Row],[Veroperustemuutoksista johtuvien veromenetysten korvaus]]+Yhteenveto[[#This Row],[Kotikuntakorvaus, netto (ei päivitetty)]]</f>
        <v>3972441.8879709104</v>
      </c>
      <c r="S208" s="11"/>
      <c r="T208"/>
    </row>
    <row r="209" spans="1:20" ht="15">
      <c r="A209" s="32">
        <v>636</v>
      </c>
      <c r="B209" s="13" t="s">
        <v>214</v>
      </c>
      <c r="C209" s="15">
        <v>8130</v>
      </c>
      <c r="D209" s="15">
        <v>13858101.360000001</v>
      </c>
      <c r="E209" s="15">
        <v>2438828.2867762884</v>
      </c>
      <c r="F209" s="231">
        <f>Yhteenveto[[#This Row],[Ikärakenne, laskennallinen kustannus]]+Yhteenveto[[#This Row],[Muut laskennalliset kustannukset ]]</f>
        <v>16296929.646776289</v>
      </c>
      <c r="G209" s="508">
        <v>1422.47</v>
      </c>
      <c r="H209" s="17">
        <v>11564681.1</v>
      </c>
      <c r="I209" s="339">
        <f>Yhteenveto[[#This Row],[Laskennalliset kustannukset yhteensä]]-Yhteenveto[[#This Row],[Omarahoitusosuus, €]]</f>
        <v>4732248.5467762891</v>
      </c>
      <c r="J209" s="33">
        <v>237130.85316573782</v>
      </c>
      <c r="K209" s="34">
        <v>64229.746593980526</v>
      </c>
      <c r="L209" s="231">
        <f>Yhteenveto[[#This Row],[Valtionosuus omarahoitusosuuden jälkeen (välisumma)]]+Yhteenveto[[#This Row],[Lisäosat yhteensä]]+Yhteenveto[[#This Row],[Valtionosuuteen tehtävät vähennykset ja lisäykset, netto]]</f>
        <v>5033609.1465360075</v>
      </c>
      <c r="M209" s="34">
        <v>3368501.568137696</v>
      </c>
      <c r="N209" s="303">
        <f>SUM(Yhteenveto[[#This Row],[Valtionosuus ennen verotuloihin perustuvaa valtionosuuden tasausta]]+Yhteenveto[[#This Row],[Verotuloihin perustuva valtionosuuden tasaus]])</f>
        <v>8402110.7146737035</v>
      </c>
      <c r="O209" s="241">
        <v>1199514.161604349</v>
      </c>
      <c r="P209" s="372">
        <f>SUM(Yhteenveto[[#This Row],[Kunnan  peruspalvelujen valtionosuus ]:[Veroperustemuutoksista johtuvien veromenetysten korvaus]])</f>
        <v>9601624.8762780521</v>
      </c>
      <c r="Q209" s="34">
        <v>658353.40499999991</v>
      </c>
      <c r="R209" s="341">
        <f>+Yhteenveto[[#This Row],[Kunnan  peruspalvelujen valtionosuus ]]+Yhteenveto[[#This Row],[Veroperustemuutoksista johtuvien veromenetysten korvaus]]+Yhteenveto[[#This Row],[Kotikuntakorvaus, netto (ei päivitetty)]]</f>
        <v>10259978.281278051</v>
      </c>
      <c r="S209" s="11"/>
      <c r="T209"/>
    </row>
    <row r="210" spans="1:20" ht="15">
      <c r="A210" s="32">
        <v>638</v>
      </c>
      <c r="B210" s="13" t="s">
        <v>215</v>
      </c>
      <c r="C210" s="15">
        <v>51289</v>
      </c>
      <c r="D210" s="15">
        <v>82518569.610000014</v>
      </c>
      <c r="E210" s="15">
        <v>20893819.241092496</v>
      </c>
      <c r="F210" s="231">
        <f>Yhteenveto[[#This Row],[Ikärakenne, laskennallinen kustannus]]+Yhteenveto[[#This Row],[Muut laskennalliset kustannukset ]]</f>
        <v>103412388.85109252</v>
      </c>
      <c r="G210" s="508">
        <v>1422.47</v>
      </c>
      <c r="H210" s="17">
        <v>72957063.829999998</v>
      </c>
      <c r="I210" s="339">
        <f>Yhteenveto[[#This Row],[Laskennalliset kustannukset yhteensä]]-Yhteenveto[[#This Row],[Omarahoitusosuus, €]]</f>
        <v>30455325.021092519</v>
      </c>
      <c r="J210" s="33">
        <v>1960027.5741817204</v>
      </c>
      <c r="K210" s="34">
        <v>13755124.232623354</v>
      </c>
      <c r="L210" s="231">
        <f>Yhteenveto[[#This Row],[Valtionosuus omarahoitusosuuden jälkeen (välisumma)]]+Yhteenveto[[#This Row],[Lisäosat yhteensä]]+Yhteenveto[[#This Row],[Valtionosuuteen tehtävät vähennykset ja lisäykset, netto]]</f>
        <v>46170476.827897593</v>
      </c>
      <c r="M210" s="34">
        <v>-1361370.9946644402</v>
      </c>
      <c r="N210" s="303">
        <f>SUM(Yhteenveto[[#This Row],[Valtionosuus ennen verotuloihin perustuvaa valtionosuuden tasausta]]+Yhteenveto[[#This Row],[Verotuloihin perustuva valtionosuuden tasaus]])</f>
        <v>44809105.833233155</v>
      </c>
      <c r="O210" s="241">
        <v>4765052.2260088604</v>
      </c>
      <c r="P210" s="372">
        <f>SUM(Yhteenveto[[#This Row],[Kunnan  peruspalvelujen valtionosuus ]:[Veroperustemuutoksista johtuvien veromenetysten korvaus]])</f>
        <v>49574158.059242018</v>
      </c>
      <c r="Q210" s="34">
        <v>-637045.31145000039</v>
      </c>
      <c r="R210" s="341">
        <f>+Yhteenveto[[#This Row],[Kunnan  peruspalvelujen valtionosuus ]]+Yhteenveto[[#This Row],[Veroperustemuutoksista johtuvien veromenetysten korvaus]]+Yhteenveto[[#This Row],[Kotikuntakorvaus, netto (ei päivitetty)]]</f>
        <v>48937112.74779202</v>
      </c>
      <c r="S210" s="11"/>
      <c r="T210"/>
    </row>
    <row r="211" spans="1:20" ht="15">
      <c r="A211" s="32">
        <v>678</v>
      </c>
      <c r="B211" s="13" t="s">
        <v>216</v>
      </c>
      <c r="C211" s="15">
        <v>23797</v>
      </c>
      <c r="D211" s="15">
        <v>39995854.479999997</v>
      </c>
      <c r="E211" s="15">
        <v>6381384.1767108589</v>
      </c>
      <c r="F211" s="231">
        <f>Yhteenveto[[#This Row],[Ikärakenne, laskennallinen kustannus]]+Yhteenveto[[#This Row],[Muut laskennalliset kustannukset ]]</f>
        <v>46377238.656710856</v>
      </c>
      <c r="G211" s="508">
        <v>1422.47</v>
      </c>
      <c r="H211" s="17">
        <v>33850518.590000004</v>
      </c>
      <c r="I211" s="339">
        <f>Yhteenveto[[#This Row],[Laskennalliset kustannukset yhteensä]]-Yhteenveto[[#This Row],[Omarahoitusosuus, €]]</f>
        <v>12526720.066710852</v>
      </c>
      <c r="J211" s="33">
        <v>1452377.948627315</v>
      </c>
      <c r="K211" s="34">
        <v>-140785.95931574702</v>
      </c>
      <c r="L211" s="231">
        <f>Yhteenveto[[#This Row],[Valtionosuus omarahoitusosuuden jälkeen (välisumma)]]+Yhteenveto[[#This Row],[Lisäosat yhteensä]]+Yhteenveto[[#This Row],[Valtionosuuteen tehtävät vähennykset ja lisäykset, netto]]</f>
        <v>13838312.056022421</v>
      </c>
      <c r="M211" s="34">
        <v>1857639.6824443934</v>
      </c>
      <c r="N211" s="303">
        <f>SUM(Yhteenveto[[#This Row],[Valtionosuus ennen verotuloihin perustuvaa valtionosuuden tasausta]]+Yhteenveto[[#This Row],[Verotuloihin perustuva valtionosuuden tasaus]])</f>
        <v>15695951.738466814</v>
      </c>
      <c r="O211" s="241">
        <v>1954998.3000127459</v>
      </c>
      <c r="P211" s="372">
        <f>SUM(Yhteenveto[[#This Row],[Kunnan  peruspalvelujen valtionosuus ]:[Veroperustemuutoksista johtuvien veromenetysten korvaus]])</f>
        <v>17650950.038479559</v>
      </c>
      <c r="Q211" s="34">
        <v>-6131.5035000000498</v>
      </c>
      <c r="R211" s="341">
        <f>+Yhteenveto[[#This Row],[Kunnan  peruspalvelujen valtionosuus ]]+Yhteenveto[[#This Row],[Veroperustemuutoksista johtuvien veromenetysten korvaus]]+Yhteenveto[[#This Row],[Kotikuntakorvaus, netto (ei päivitetty)]]</f>
        <v>17644818.534979559</v>
      </c>
      <c r="S211" s="11"/>
      <c r="T211"/>
    </row>
    <row r="212" spans="1:20" ht="15">
      <c r="A212" s="32">
        <v>680</v>
      </c>
      <c r="B212" s="13" t="s">
        <v>217</v>
      </c>
      <c r="C212" s="15">
        <v>25331</v>
      </c>
      <c r="D212" s="15">
        <v>38482068.609999992</v>
      </c>
      <c r="E212" s="15">
        <v>8714578.3049361259</v>
      </c>
      <c r="F212" s="231">
        <f>Yhteenveto[[#This Row],[Ikärakenne, laskennallinen kustannus]]+Yhteenveto[[#This Row],[Muut laskennalliset kustannukset ]]</f>
        <v>47196646.914936118</v>
      </c>
      <c r="G212" s="508">
        <v>1422.47</v>
      </c>
      <c r="H212" s="17">
        <v>36032587.57</v>
      </c>
      <c r="I212" s="339">
        <f>Yhteenveto[[#This Row],[Laskennalliset kustannukset yhteensä]]-Yhteenveto[[#This Row],[Omarahoitusosuus, €]]</f>
        <v>11164059.344936118</v>
      </c>
      <c r="J212" s="33">
        <v>1143763.8822708942</v>
      </c>
      <c r="K212" s="34">
        <v>-885259.14342029928</v>
      </c>
      <c r="L212" s="231">
        <f>Yhteenveto[[#This Row],[Valtionosuus omarahoitusosuuden jälkeen (välisumma)]]+Yhteenveto[[#This Row],[Lisäosat yhteensä]]+Yhteenveto[[#This Row],[Valtionosuuteen tehtävät vähennykset ja lisäykset, netto]]</f>
        <v>11422564.083786713</v>
      </c>
      <c r="M212" s="34">
        <v>315704.23145887733</v>
      </c>
      <c r="N212" s="303">
        <f>SUM(Yhteenveto[[#This Row],[Valtionosuus ennen verotuloihin perustuvaa valtionosuuden tasausta]]+Yhteenveto[[#This Row],[Verotuloihin perustuva valtionosuuden tasaus]])</f>
        <v>11738268.315245591</v>
      </c>
      <c r="O212" s="241">
        <v>1918214.4468927071</v>
      </c>
      <c r="P212" s="372">
        <f>SUM(Yhteenveto[[#This Row],[Kunnan  peruspalvelujen valtionosuus ]:[Veroperustemuutoksista johtuvien veromenetysten korvaus]])</f>
        <v>13656482.762138298</v>
      </c>
      <c r="Q212" s="34">
        <v>-745701.2224999998</v>
      </c>
      <c r="R212" s="341">
        <f>+Yhteenveto[[#This Row],[Kunnan  peruspalvelujen valtionosuus ]]+Yhteenveto[[#This Row],[Veroperustemuutoksista johtuvien veromenetysten korvaus]]+Yhteenveto[[#This Row],[Kotikuntakorvaus, netto (ei päivitetty)]]</f>
        <v>12910781.539638298</v>
      </c>
      <c r="S212" s="11"/>
      <c r="T212"/>
    </row>
    <row r="213" spans="1:20" ht="15">
      <c r="A213" s="32">
        <v>681</v>
      </c>
      <c r="B213" s="13" t="s">
        <v>218</v>
      </c>
      <c r="C213" s="15">
        <v>3297</v>
      </c>
      <c r="D213" s="15">
        <v>3818919.32</v>
      </c>
      <c r="E213" s="15">
        <v>1212849.7062333389</v>
      </c>
      <c r="F213" s="231">
        <f>Yhteenveto[[#This Row],[Ikärakenne, laskennallinen kustannus]]+Yhteenveto[[#This Row],[Muut laskennalliset kustannukset ]]</f>
        <v>5031769.0262333388</v>
      </c>
      <c r="G213" s="508">
        <v>1422.47</v>
      </c>
      <c r="H213" s="17">
        <v>4689883.59</v>
      </c>
      <c r="I213" s="339">
        <f>Yhteenveto[[#This Row],[Laskennalliset kustannukset yhteensä]]-Yhteenveto[[#This Row],[Omarahoitusosuus, €]]</f>
        <v>341885.4362333389</v>
      </c>
      <c r="J213" s="33">
        <v>290389.32488953602</v>
      </c>
      <c r="K213" s="34">
        <v>368809.84599587333</v>
      </c>
      <c r="L213" s="231">
        <f>Yhteenveto[[#This Row],[Valtionosuus omarahoitusosuuden jälkeen (välisumma)]]+Yhteenveto[[#This Row],[Lisäosat yhteensä]]+Yhteenveto[[#This Row],[Valtionosuuteen tehtävät vähennykset ja lisäykset, netto]]</f>
        <v>1001084.6071187482</v>
      </c>
      <c r="M213" s="34">
        <v>1196324.5826197849</v>
      </c>
      <c r="N213" s="303">
        <f>SUM(Yhteenveto[[#This Row],[Valtionosuus ennen verotuloihin perustuvaa valtionosuuden tasausta]]+Yhteenveto[[#This Row],[Verotuloihin perustuva valtionosuuden tasaus]])</f>
        <v>2197409.189738533</v>
      </c>
      <c r="O213" s="241">
        <v>596609.93901570677</v>
      </c>
      <c r="P213" s="372">
        <f>SUM(Yhteenveto[[#This Row],[Kunnan  peruspalvelujen valtionosuus ]:[Veroperustemuutoksista johtuvien veromenetysten korvaus]])</f>
        <v>2794019.1287542395</v>
      </c>
      <c r="Q213" s="34">
        <v>-58107.55750000001</v>
      </c>
      <c r="R213" s="341">
        <f>+Yhteenveto[[#This Row],[Kunnan  peruspalvelujen valtionosuus ]]+Yhteenveto[[#This Row],[Veroperustemuutoksista johtuvien veromenetysten korvaus]]+Yhteenveto[[#This Row],[Kotikuntakorvaus, netto (ei päivitetty)]]</f>
        <v>2735911.5712542394</v>
      </c>
      <c r="S213" s="11"/>
      <c r="T213"/>
    </row>
    <row r="214" spans="1:20" ht="15">
      <c r="A214" s="32">
        <v>683</v>
      </c>
      <c r="B214" s="13" t="s">
        <v>219</v>
      </c>
      <c r="C214" s="15">
        <v>3599</v>
      </c>
      <c r="D214" s="15">
        <v>6176023.1000000006</v>
      </c>
      <c r="E214" s="15">
        <v>3305898.1365371095</v>
      </c>
      <c r="F214" s="231">
        <f>Yhteenveto[[#This Row],[Ikärakenne, laskennallinen kustannus]]+Yhteenveto[[#This Row],[Muut laskennalliset kustannukset ]]</f>
        <v>9481921.2365371101</v>
      </c>
      <c r="G214" s="508">
        <v>1422.47</v>
      </c>
      <c r="H214" s="17">
        <v>5119469.53</v>
      </c>
      <c r="I214" s="339">
        <f>Yhteenveto[[#This Row],[Laskennalliset kustannukset yhteensä]]-Yhteenveto[[#This Row],[Omarahoitusosuus, €]]</f>
        <v>4362451.7065371098</v>
      </c>
      <c r="J214" s="33">
        <v>1328520.8740055314</v>
      </c>
      <c r="K214" s="34">
        <v>-143942.11721664586</v>
      </c>
      <c r="L214" s="231">
        <f>Yhteenveto[[#This Row],[Valtionosuus omarahoitusosuuden jälkeen (välisumma)]]+Yhteenveto[[#This Row],[Lisäosat yhteensä]]+Yhteenveto[[#This Row],[Valtionosuuteen tehtävät vähennykset ja lisäykset, netto]]</f>
        <v>5547030.463325995</v>
      </c>
      <c r="M214" s="34">
        <v>2590015.8331671292</v>
      </c>
      <c r="N214" s="303">
        <f>SUM(Yhteenveto[[#This Row],[Valtionosuus ennen verotuloihin perustuvaa valtionosuuden tasausta]]+Yhteenveto[[#This Row],[Verotuloihin perustuva valtionosuuden tasaus]])</f>
        <v>8137046.2964931242</v>
      </c>
      <c r="O214" s="241">
        <v>624124.52594263316</v>
      </c>
      <c r="P214" s="372">
        <f>SUM(Yhteenveto[[#This Row],[Kunnan  peruspalvelujen valtionosuus ]:[Veroperustemuutoksista johtuvien veromenetysten korvaus]])</f>
        <v>8761170.8224357571</v>
      </c>
      <c r="Q214" s="34">
        <v>4550.1424999999872</v>
      </c>
      <c r="R214" s="341">
        <f>+Yhteenveto[[#This Row],[Kunnan  peruspalvelujen valtionosuus ]]+Yhteenveto[[#This Row],[Veroperustemuutoksista johtuvien veromenetysten korvaus]]+Yhteenveto[[#This Row],[Kotikuntakorvaus, netto (ei päivitetty)]]</f>
        <v>8765720.9649357572</v>
      </c>
      <c r="S214" s="11"/>
      <c r="T214"/>
    </row>
    <row r="215" spans="1:20" ht="15">
      <c r="A215" s="32">
        <v>684</v>
      </c>
      <c r="B215" s="13" t="s">
        <v>220</v>
      </c>
      <c r="C215" s="15">
        <v>38832</v>
      </c>
      <c r="D215" s="15">
        <v>53488676.210000001</v>
      </c>
      <c r="E215" s="15">
        <v>11902084.867987251</v>
      </c>
      <c r="F215" s="231">
        <f>Yhteenveto[[#This Row],[Ikärakenne, laskennallinen kustannus]]+Yhteenveto[[#This Row],[Muut laskennalliset kustannukset ]]</f>
        <v>65390761.077987254</v>
      </c>
      <c r="G215" s="508">
        <v>1422.47</v>
      </c>
      <c r="H215" s="17">
        <v>55237355.039999999</v>
      </c>
      <c r="I215" s="339">
        <f>Yhteenveto[[#This Row],[Laskennalliset kustannukset yhteensä]]-Yhteenveto[[#This Row],[Omarahoitusosuus, €]]</f>
        <v>10153406.037987255</v>
      </c>
      <c r="J215" s="33">
        <v>1293354.9438310671</v>
      </c>
      <c r="K215" s="34">
        <v>-2390425.056294342</v>
      </c>
      <c r="L215" s="231">
        <f>Yhteenveto[[#This Row],[Valtionosuus omarahoitusosuuden jälkeen (välisumma)]]+Yhteenveto[[#This Row],[Lisäosat yhteensä]]+Yhteenveto[[#This Row],[Valtionosuuteen tehtävät vähennykset ja lisäykset, netto]]</f>
        <v>9056335.9255239796</v>
      </c>
      <c r="M215" s="34">
        <v>1115741.3691279469</v>
      </c>
      <c r="N215" s="303">
        <f>SUM(Yhteenveto[[#This Row],[Valtionosuus ennen verotuloihin perustuvaa valtionosuuden tasausta]]+Yhteenveto[[#This Row],[Verotuloihin perustuva valtionosuuden tasaus]])</f>
        <v>10172077.294651926</v>
      </c>
      <c r="O215" s="241">
        <v>4722075.4808102157</v>
      </c>
      <c r="P215" s="372">
        <f>SUM(Yhteenveto[[#This Row],[Kunnan  peruspalvelujen valtionosuus ]:[Veroperustemuutoksista johtuvien veromenetysten korvaus]])</f>
        <v>14894152.775462141</v>
      </c>
      <c r="Q215" s="34">
        <v>-2931970.1012499984</v>
      </c>
      <c r="R215" s="341">
        <f>+Yhteenveto[[#This Row],[Kunnan  peruspalvelujen valtionosuus ]]+Yhteenveto[[#This Row],[Veroperustemuutoksista johtuvien veromenetysten korvaus]]+Yhteenveto[[#This Row],[Kotikuntakorvaus, netto (ei päivitetty)]]</f>
        <v>11962182.674212143</v>
      </c>
      <c r="S215" s="11"/>
      <c r="T215"/>
    </row>
    <row r="216" spans="1:20" ht="15">
      <c r="A216" s="32">
        <v>686</v>
      </c>
      <c r="B216" s="13" t="s">
        <v>221</v>
      </c>
      <c r="C216" s="15">
        <v>2933</v>
      </c>
      <c r="D216" s="15">
        <v>3443502.1800000006</v>
      </c>
      <c r="E216" s="15">
        <v>994019.63563941245</v>
      </c>
      <c r="F216" s="231">
        <f>Yhteenveto[[#This Row],[Ikärakenne, laskennallinen kustannus]]+Yhteenveto[[#This Row],[Muut laskennalliset kustannukset ]]</f>
        <v>4437521.815639413</v>
      </c>
      <c r="G216" s="508">
        <v>1422.47</v>
      </c>
      <c r="H216" s="17">
        <v>4172104.5100000002</v>
      </c>
      <c r="I216" s="339">
        <f>Yhteenveto[[#This Row],[Laskennalliset kustannukset yhteensä]]-Yhteenveto[[#This Row],[Omarahoitusosuus, €]]</f>
        <v>265417.30563941272</v>
      </c>
      <c r="J216" s="33">
        <v>437613.67254236765</v>
      </c>
      <c r="K216" s="34">
        <v>-593390.86935670616</v>
      </c>
      <c r="L216" s="231">
        <f>Yhteenveto[[#This Row],[Valtionosuus omarahoitusosuuden jälkeen (välisumma)]]+Yhteenveto[[#This Row],[Lisäosat yhteensä]]+Yhteenveto[[#This Row],[Valtionosuuteen tehtävät vähennykset ja lisäykset, netto]]</f>
        <v>109640.10882507416</v>
      </c>
      <c r="M216" s="34">
        <v>1360679.6966991748</v>
      </c>
      <c r="N216" s="303">
        <f>SUM(Yhteenveto[[#This Row],[Valtionosuus ennen verotuloihin perustuvaa valtionosuuden tasausta]]+Yhteenveto[[#This Row],[Verotuloihin perustuva valtionosuuden tasaus]])</f>
        <v>1470319.8055242491</v>
      </c>
      <c r="O216" s="241">
        <v>468777.43244317366</v>
      </c>
      <c r="P216" s="372">
        <f>SUM(Yhteenveto[[#This Row],[Kunnan  peruspalvelujen valtionosuus ]:[Veroperustemuutoksista johtuvien veromenetysten korvaus]])</f>
        <v>1939097.2379674227</v>
      </c>
      <c r="Q216" s="34">
        <v>10457.868499999997</v>
      </c>
      <c r="R216" s="341">
        <f>+Yhteenveto[[#This Row],[Kunnan  peruspalvelujen valtionosuus ]]+Yhteenveto[[#This Row],[Veroperustemuutoksista johtuvien veromenetysten korvaus]]+Yhteenveto[[#This Row],[Kotikuntakorvaus, netto (ei päivitetty)]]</f>
        <v>1949555.1064674228</v>
      </c>
      <c r="S216" s="11"/>
      <c r="T216"/>
    </row>
    <row r="217" spans="1:20" ht="15">
      <c r="A217" s="32">
        <v>687</v>
      </c>
      <c r="B217" s="13" t="s">
        <v>222</v>
      </c>
      <c r="C217" s="15">
        <v>1424</v>
      </c>
      <c r="D217" s="15">
        <v>1445149.1600000004</v>
      </c>
      <c r="E217" s="15">
        <v>1162186.8266915565</v>
      </c>
      <c r="F217" s="231">
        <f>Yhteenveto[[#This Row],[Ikärakenne, laskennallinen kustannus]]+Yhteenveto[[#This Row],[Muut laskennalliset kustannukset ]]</f>
        <v>2607335.9866915569</v>
      </c>
      <c r="G217" s="508">
        <v>1422.47</v>
      </c>
      <c r="H217" s="17">
        <v>2025597.28</v>
      </c>
      <c r="I217" s="339">
        <f>Yhteenveto[[#This Row],[Laskennalliset kustannukset yhteensä]]-Yhteenveto[[#This Row],[Omarahoitusosuus, €]]</f>
        <v>581738.70669155684</v>
      </c>
      <c r="J217" s="33">
        <v>521486.23606756004</v>
      </c>
      <c r="K217" s="34">
        <v>-51515.18765975468</v>
      </c>
      <c r="L217" s="231">
        <f>Yhteenveto[[#This Row],[Valtionosuus omarahoitusosuuden jälkeen (välisumma)]]+Yhteenveto[[#This Row],[Lisäosat yhteensä]]+Yhteenveto[[#This Row],[Valtionosuuteen tehtävät vähennykset ja lisäykset, netto]]</f>
        <v>1051709.7550993622</v>
      </c>
      <c r="M217" s="34">
        <v>445626.73804406211</v>
      </c>
      <c r="N217" s="303">
        <f>SUM(Yhteenveto[[#This Row],[Valtionosuus ennen verotuloihin perustuvaa valtionosuuden tasausta]]+Yhteenveto[[#This Row],[Verotuloihin perustuva valtionosuuden tasaus]])</f>
        <v>1497336.4931434244</v>
      </c>
      <c r="O217" s="241">
        <v>298711.3748494992</v>
      </c>
      <c r="P217" s="372">
        <f>SUM(Yhteenveto[[#This Row],[Kunnan  peruspalvelujen valtionosuus ]:[Veroperustemuutoksista johtuvien veromenetysten korvaus]])</f>
        <v>1796047.8679929236</v>
      </c>
      <c r="Q217" s="34">
        <v>199982.49249999999</v>
      </c>
      <c r="R217" s="341">
        <f>+Yhteenveto[[#This Row],[Kunnan  peruspalvelujen valtionosuus ]]+Yhteenveto[[#This Row],[Veroperustemuutoksista johtuvien veromenetysten korvaus]]+Yhteenveto[[#This Row],[Kotikuntakorvaus, netto (ei päivitetty)]]</f>
        <v>1996030.3604929235</v>
      </c>
      <c r="S217" s="11"/>
      <c r="T217"/>
    </row>
    <row r="218" spans="1:20" ht="15">
      <c r="A218" s="32">
        <v>689</v>
      </c>
      <c r="B218" s="13" t="s">
        <v>223</v>
      </c>
      <c r="C218" s="15">
        <v>3032</v>
      </c>
      <c r="D218" s="15">
        <v>2862246.61</v>
      </c>
      <c r="E218" s="15">
        <v>1123588.3319629675</v>
      </c>
      <c r="F218" s="231">
        <f>Yhteenveto[[#This Row],[Ikärakenne, laskennallinen kustannus]]+Yhteenveto[[#This Row],[Muut laskennalliset kustannukset ]]</f>
        <v>3985834.9419629676</v>
      </c>
      <c r="G218" s="508">
        <v>1422.47</v>
      </c>
      <c r="H218" s="17">
        <v>4312929.04</v>
      </c>
      <c r="I218" s="339">
        <f>Yhteenveto[[#This Row],[Laskennalliset kustannukset yhteensä]]-Yhteenveto[[#This Row],[Omarahoitusosuus, €]]</f>
        <v>-327094.09803703241</v>
      </c>
      <c r="J218" s="33">
        <v>407124.9279790133</v>
      </c>
      <c r="K218" s="34">
        <v>2194365.4379986473</v>
      </c>
      <c r="L218" s="231">
        <f>Yhteenveto[[#This Row],[Valtionosuus omarahoitusosuuden jälkeen (välisumma)]]+Yhteenveto[[#This Row],[Lisäosat yhteensä]]+Yhteenveto[[#This Row],[Valtionosuuteen tehtävät vähennykset ja lisäykset, netto]]</f>
        <v>2274396.2679406283</v>
      </c>
      <c r="M218" s="34">
        <v>-17749.777667319697</v>
      </c>
      <c r="N218" s="303">
        <f>SUM(Yhteenveto[[#This Row],[Valtionosuus ennen verotuloihin perustuvaa valtionosuuden tasausta]]+Yhteenveto[[#This Row],[Verotuloihin perustuva valtionosuuden tasaus]])</f>
        <v>2256646.4902733085</v>
      </c>
      <c r="O218" s="241">
        <v>455544.29397199646</v>
      </c>
      <c r="P218" s="372">
        <f>SUM(Yhteenveto[[#This Row],[Kunnan  peruspalvelujen valtionosuus ]:[Veroperustemuutoksista johtuvien veromenetysten korvaus]])</f>
        <v>2712190.7842453048</v>
      </c>
      <c r="Q218" s="34">
        <v>3147.8035000000018</v>
      </c>
      <c r="R218" s="341">
        <f>+Yhteenveto[[#This Row],[Kunnan  peruspalvelujen valtionosuus ]]+Yhteenveto[[#This Row],[Veroperustemuutoksista johtuvien veromenetysten korvaus]]+Yhteenveto[[#This Row],[Kotikuntakorvaus, netto (ei päivitetty)]]</f>
        <v>2715338.5877453047</v>
      </c>
      <c r="S218" s="11"/>
      <c r="T218"/>
    </row>
    <row r="219" spans="1:20" ht="15">
      <c r="A219" s="32">
        <v>691</v>
      </c>
      <c r="B219" s="13" t="s">
        <v>224</v>
      </c>
      <c r="C219" s="15">
        <v>2598</v>
      </c>
      <c r="D219" s="15">
        <v>4625218.5299999993</v>
      </c>
      <c r="E219" s="15">
        <v>684413.95993288595</v>
      </c>
      <c r="F219" s="231">
        <f>Yhteenveto[[#This Row],[Ikärakenne, laskennallinen kustannus]]+Yhteenveto[[#This Row],[Muut laskennalliset kustannukset ]]</f>
        <v>5309632.4899328854</v>
      </c>
      <c r="G219" s="508">
        <v>1422.47</v>
      </c>
      <c r="H219" s="17">
        <v>3695577.06</v>
      </c>
      <c r="I219" s="339">
        <f>Yhteenveto[[#This Row],[Laskennalliset kustannukset yhteensä]]-Yhteenveto[[#This Row],[Omarahoitusosuus, €]]</f>
        <v>1614055.4299328853</v>
      </c>
      <c r="J219" s="33">
        <v>389938.64343299298</v>
      </c>
      <c r="K219" s="34">
        <v>351063.22850899154</v>
      </c>
      <c r="L219" s="231">
        <f>Yhteenveto[[#This Row],[Valtionosuus omarahoitusosuuden jälkeen (välisumma)]]+Yhteenveto[[#This Row],[Lisäosat yhteensä]]+Yhteenveto[[#This Row],[Valtionosuuteen tehtävät vähennykset ja lisäykset, netto]]</f>
        <v>2355057.30187487</v>
      </c>
      <c r="M219" s="34">
        <v>1832437.3626499712</v>
      </c>
      <c r="N219" s="303">
        <f>SUM(Yhteenveto[[#This Row],[Valtionosuus ennen verotuloihin perustuvaa valtionosuuden tasausta]]+Yhteenveto[[#This Row],[Verotuloihin perustuva valtionosuuden tasaus]])</f>
        <v>4187494.6645248411</v>
      </c>
      <c r="O219" s="241">
        <v>458255.79784068</v>
      </c>
      <c r="P219" s="372">
        <f>SUM(Yhteenveto[[#This Row],[Kunnan  peruspalvelujen valtionosuus ]:[Veroperustemuutoksista johtuvien veromenetysten korvaus]])</f>
        <v>4645750.4623655211</v>
      </c>
      <c r="Q219" s="34">
        <v>-20811.307499999995</v>
      </c>
      <c r="R219" s="341">
        <f>+Yhteenveto[[#This Row],[Kunnan  peruspalvelujen valtionosuus ]]+Yhteenveto[[#This Row],[Veroperustemuutoksista johtuvien veromenetysten korvaus]]+Yhteenveto[[#This Row],[Kotikuntakorvaus, netto (ei päivitetty)]]</f>
        <v>4624939.154865521</v>
      </c>
      <c r="S219" s="11"/>
      <c r="T219"/>
    </row>
    <row r="220" spans="1:20" ht="15">
      <c r="A220" s="32">
        <v>694</v>
      </c>
      <c r="B220" s="13" t="s">
        <v>225</v>
      </c>
      <c r="C220" s="15">
        <v>28483</v>
      </c>
      <c r="D220" s="15">
        <v>42163375.509999998</v>
      </c>
      <c r="E220" s="15">
        <v>7924283.5088260677</v>
      </c>
      <c r="F220" s="231">
        <f>Yhteenveto[[#This Row],[Ikärakenne, laskennallinen kustannus]]+Yhteenveto[[#This Row],[Muut laskennalliset kustannukset ]]</f>
        <v>50087659.018826067</v>
      </c>
      <c r="G220" s="508">
        <v>1422.47</v>
      </c>
      <c r="H220" s="17">
        <v>40516213.009999998</v>
      </c>
      <c r="I220" s="339">
        <f>Yhteenveto[[#This Row],[Laskennalliset kustannukset yhteensä]]-Yhteenveto[[#This Row],[Omarahoitusosuus, €]]</f>
        <v>9571446.0088260695</v>
      </c>
      <c r="J220" s="33">
        <v>999942.20570949698</v>
      </c>
      <c r="K220" s="34">
        <v>-3987119.912260578</v>
      </c>
      <c r="L220" s="231">
        <f>Yhteenveto[[#This Row],[Valtionosuus omarahoitusosuuden jälkeen (välisumma)]]+Yhteenveto[[#This Row],[Lisäosat yhteensä]]+Yhteenveto[[#This Row],[Valtionosuuteen tehtävät vähennykset ja lisäykset, netto]]</f>
        <v>6584268.302274988</v>
      </c>
      <c r="M220" s="34">
        <v>378388.35055017786</v>
      </c>
      <c r="N220" s="303">
        <f>SUM(Yhteenveto[[#This Row],[Valtionosuus ennen verotuloihin perustuvaa valtionosuuden tasausta]]+Yhteenveto[[#This Row],[Verotuloihin perustuva valtionosuuden tasaus]])</f>
        <v>6962656.6528251655</v>
      </c>
      <c r="O220" s="241">
        <v>2549507.2132888408</v>
      </c>
      <c r="P220" s="372">
        <f>SUM(Yhteenveto[[#This Row],[Kunnan  peruspalvelujen valtionosuus ]:[Veroperustemuutoksista johtuvien veromenetysten korvaus]])</f>
        <v>9512163.8661140054</v>
      </c>
      <c r="Q220" s="34">
        <v>262491.00750000007</v>
      </c>
      <c r="R220" s="341">
        <f>+Yhteenveto[[#This Row],[Kunnan  peruspalvelujen valtionosuus ]]+Yhteenveto[[#This Row],[Veroperustemuutoksista johtuvien veromenetysten korvaus]]+Yhteenveto[[#This Row],[Kotikuntakorvaus, netto (ei päivitetty)]]</f>
        <v>9774654.8736140057</v>
      </c>
      <c r="S220" s="11"/>
      <c r="T220"/>
    </row>
    <row r="221" spans="1:20" ht="15">
      <c r="A221" s="32">
        <v>697</v>
      </c>
      <c r="B221" s="13" t="s">
        <v>226</v>
      </c>
      <c r="C221" s="15">
        <v>1164</v>
      </c>
      <c r="D221" s="15">
        <v>1256143.5799999998</v>
      </c>
      <c r="E221" s="15">
        <v>833699.14424924401</v>
      </c>
      <c r="F221" s="231">
        <f>Yhteenveto[[#This Row],[Ikärakenne, laskennallinen kustannus]]+Yhteenveto[[#This Row],[Muut laskennalliset kustannukset ]]</f>
        <v>2089842.7242492437</v>
      </c>
      <c r="G221" s="508">
        <v>1422.47</v>
      </c>
      <c r="H221" s="17">
        <v>1655755.08</v>
      </c>
      <c r="I221" s="339">
        <f>Yhteenveto[[#This Row],[Laskennalliset kustannukset yhteensä]]-Yhteenveto[[#This Row],[Omarahoitusosuus, €]]</f>
        <v>434087.64424924366</v>
      </c>
      <c r="J221" s="33">
        <v>158989.1331852299</v>
      </c>
      <c r="K221" s="34">
        <v>-152148.84362382628</v>
      </c>
      <c r="L221" s="231">
        <f>Yhteenveto[[#This Row],[Valtionosuus omarahoitusosuuden jälkeen (välisumma)]]+Yhteenveto[[#This Row],[Lisäosat yhteensä]]+Yhteenveto[[#This Row],[Valtionosuuteen tehtävät vähennykset ja lisäykset, netto]]</f>
        <v>440927.93381064734</v>
      </c>
      <c r="M221" s="34">
        <v>467093.05133625597</v>
      </c>
      <c r="N221" s="303">
        <f>SUM(Yhteenveto[[#This Row],[Valtionosuus ennen verotuloihin perustuvaa valtionosuuden tasausta]]+Yhteenveto[[#This Row],[Verotuloihin perustuva valtionosuuden tasaus]])</f>
        <v>908020.98514690332</v>
      </c>
      <c r="O221" s="241">
        <v>218239.05770937426</v>
      </c>
      <c r="P221" s="372">
        <f>SUM(Yhteenveto[[#This Row],[Kunnan  peruspalvelujen valtionosuus ]:[Veroperustemuutoksista johtuvien veromenetysten korvaus]])</f>
        <v>1126260.0428562777</v>
      </c>
      <c r="Q221" s="34">
        <v>26077.538</v>
      </c>
      <c r="R221" s="341">
        <f>+Yhteenveto[[#This Row],[Kunnan  peruspalvelujen valtionosuus ]]+Yhteenveto[[#This Row],[Veroperustemuutoksista johtuvien veromenetysten korvaus]]+Yhteenveto[[#This Row],[Kotikuntakorvaus, netto (ei päivitetty)]]</f>
        <v>1152337.5808562776</v>
      </c>
      <c r="S221" s="11"/>
      <c r="T221"/>
    </row>
    <row r="222" spans="1:20" ht="15">
      <c r="A222" s="32">
        <v>698</v>
      </c>
      <c r="B222" s="13" t="s">
        <v>227</v>
      </c>
      <c r="C222" s="15">
        <v>65286</v>
      </c>
      <c r="D222" s="15">
        <v>102588560.98000002</v>
      </c>
      <c r="E222" s="15">
        <v>20532042.67009322</v>
      </c>
      <c r="F222" s="231">
        <f>Yhteenveto[[#This Row],[Ikärakenne, laskennallinen kustannus]]+Yhteenveto[[#This Row],[Muut laskennalliset kustannukset ]]</f>
        <v>123120603.65009324</v>
      </c>
      <c r="G222" s="508">
        <v>1422.47</v>
      </c>
      <c r="H222" s="17">
        <v>92867376.420000002</v>
      </c>
      <c r="I222" s="339">
        <f>Yhteenveto[[#This Row],[Laskennalliset kustannukset yhteensä]]-Yhteenveto[[#This Row],[Omarahoitusosuus, €]]</f>
        <v>30253227.230093241</v>
      </c>
      <c r="J222" s="33">
        <v>2739998.4276219462</v>
      </c>
      <c r="K222" s="34">
        <v>-33128113.30089676</v>
      </c>
      <c r="L222" s="231">
        <f>Yhteenveto[[#This Row],[Valtionosuus omarahoitusosuuden jälkeen (välisumma)]]+Yhteenveto[[#This Row],[Lisäosat yhteensä]]+Yhteenveto[[#This Row],[Valtionosuuteen tehtävät vähennykset ja lisäykset, netto]]</f>
        <v>-134887.6431815736</v>
      </c>
      <c r="M222" s="34">
        <v>17448658.089664634</v>
      </c>
      <c r="N222" s="303">
        <f>SUM(Yhteenveto[[#This Row],[Valtionosuus ennen verotuloihin perustuvaa valtionosuuden tasausta]]+Yhteenveto[[#This Row],[Verotuloihin perustuva valtionosuuden tasaus]])</f>
        <v>17313770.446483061</v>
      </c>
      <c r="O222" s="241">
        <v>4951806.3278596159</v>
      </c>
      <c r="P222" s="372">
        <f>SUM(Yhteenveto[[#This Row],[Kunnan  peruspalvelujen valtionosuus ]:[Veroperustemuutoksista johtuvien veromenetysten korvaus]])</f>
        <v>22265576.774342678</v>
      </c>
      <c r="Q222" s="34">
        <v>-5284739.8829499986</v>
      </c>
      <c r="R222" s="341">
        <f>+Yhteenveto[[#This Row],[Kunnan  peruspalvelujen valtionosuus ]]+Yhteenveto[[#This Row],[Veroperustemuutoksista johtuvien veromenetysten korvaus]]+Yhteenveto[[#This Row],[Kotikuntakorvaus, netto (ei päivitetty)]]</f>
        <v>16980836.891392678</v>
      </c>
      <c r="S222" s="11"/>
      <c r="T222"/>
    </row>
    <row r="223" spans="1:20" ht="15">
      <c r="A223" s="32">
        <v>700</v>
      </c>
      <c r="B223" s="13" t="s">
        <v>228</v>
      </c>
      <c r="C223" s="15">
        <v>4758</v>
      </c>
      <c r="D223" s="15">
        <v>5680410.9500000002</v>
      </c>
      <c r="E223" s="15">
        <v>1797118.9967868631</v>
      </c>
      <c r="F223" s="231">
        <f>Yhteenveto[[#This Row],[Ikärakenne, laskennallinen kustannus]]+Yhteenveto[[#This Row],[Muut laskennalliset kustannukset ]]</f>
        <v>7477529.9467868637</v>
      </c>
      <c r="G223" s="508">
        <v>1422.47</v>
      </c>
      <c r="H223" s="17">
        <v>6768112.2599999998</v>
      </c>
      <c r="I223" s="339">
        <f>Yhteenveto[[#This Row],[Laskennalliset kustannukset yhteensä]]-Yhteenveto[[#This Row],[Omarahoitusosuus, €]]</f>
        <v>709417.68678686395</v>
      </c>
      <c r="J223" s="33">
        <v>158272.70320952486</v>
      </c>
      <c r="K223" s="34">
        <v>505258.27762408287</v>
      </c>
      <c r="L223" s="231">
        <f>Yhteenveto[[#This Row],[Valtionosuus omarahoitusosuuden jälkeen (välisumma)]]+Yhteenveto[[#This Row],[Lisäosat yhteensä]]+Yhteenveto[[#This Row],[Valtionosuuteen tehtävät vähennykset ja lisäykset, netto]]</f>
        <v>1372948.6676204717</v>
      </c>
      <c r="M223" s="34">
        <v>761956.71997398906</v>
      </c>
      <c r="N223" s="303">
        <f>SUM(Yhteenveto[[#This Row],[Valtionosuus ennen verotuloihin perustuvaa valtionosuuden tasausta]]+Yhteenveto[[#This Row],[Verotuloihin perustuva valtionosuuden tasaus]])</f>
        <v>2134905.3875944605</v>
      </c>
      <c r="O223" s="241">
        <v>530506.41007408069</v>
      </c>
      <c r="P223" s="372">
        <f>SUM(Yhteenveto[[#This Row],[Kunnan  peruspalvelujen valtionosuus ]:[Veroperustemuutoksista johtuvien veromenetysten korvaus]])</f>
        <v>2665411.7976685413</v>
      </c>
      <c r="Q223" s="34">
        <v>-13411.731499999994</v>
      </c>
      <c r="R223" s="341">
        <f>+Yhteenveto[[#This Row],[Kunnan  peruspalvelujen valtionosuus ]]+Yhteenveto[[#This Row],[Veroperustemuutoksista johtuvien veromenetysten korvaus]]+Yhteenveto[[#This Row],[Kotikuntakorvaus, netto (ei päivitetty)]]</f>
        <v>2652000.0661685411</v>
      </c>
      <c r="S223" s="11"/>
      <c r="T223"/>
    </row>
    <row r="224" spans="1:20" ht="15">
      <c r="A224" s="32">
        <v>702</v>
      </c>
      <c r="B224" s="13" t="s">
        <v>229</v>
      </c>
      <c r="C224" s="15">
        <v>4124</v>
      </c>
      <c r="D224" s="15">
        <v>4575741.2500000009</v>
      </c>
      <c r="E224" s="15">
        <v>1407336.587249991</v>
      </c>
      <c r="F224" s="231">
        <f>Yhteenveto[[#This Row],[Ikärakenne, laskennallinen kustannus]]+Yhteenveto[[#This Row],[Muut laskennalliset kustannukset ]]</f>
        <v>5983077.8372499924</v>
      </c>
      <c r="G224" s="508">
        <v>1422.47</v>
      </c>
      <c r="H224" s="17">
        <v>5866266.2800000003</v>
      </c>
      <c r="I224" s="339">
        <f>Yhteenveto[[#This Row],[Laskennalliset kustannukset yhteensä]]-Yhteenveto[[#This Row],[Omarahoitusosuus, €]]</f>
        <v>116811.55724999215</v>
      </c>
      <c r="J224" s="33">
        <v>563963.98236569099</v>
      </c>
      <c r="K224" s="34">
        <v>635157.9863249358</v>
      </c>
      <c r="L224" s="231">
        <f>Yhteenveto[[#This Row],[Valtionosuus omarahoitusosuuden jälkeen (välisumma)]]+Yhteenveto[[#This Row],[Lisäosat yhteensä]]+Yhteenveto[[#This Row],[Valtionosuuteen tehtävät vähennykset ja lisäykset, netto]]</f>
        <v>1315933.5259406189</v>
      </c>
      <c r="M224" s="34">
        <v>1299131.669511551</v>
      </c>
      <c r="N224" s="303">
        <f>SUM(Yhteenveto[[#This Row],[Valtionosuus ennen verotuloihin perustuvaa valtionosuuden tasausta]]+Yhteenveto[[#This Row],[Verotuloihin perustuva valtionosuuden tasaus]])</f>
        <v>2615065.19545217</v>
      </c>
      <c r="O224" s="241">
        <v>645314.040662696</v>
      </c>
      <c r="P224" s="372">
        <f>SUM(Yhteenveto[[#This Row],[Kunnan  peruspalvelujen valtionosuus ]:[Veroperustemuutoksista johtuvien veromenetysten korvaus]])</f>
        <v>3260379.2361148661</v>
      </c>
      <c r="Q224" s="34">
        <v>-1939.4050000000061</v>
      </c>
      <c r="R224" s="341">
        <f>+Yhteenveto[[#This Row],[Kunnan  peruspalvelujen valtionosuus ]]+Yhteenveto[[#This Row],[Veroperustemuutoksista johtuvien veromenetysten korvaus]]+Yhteenveto[[#This Row],[Kotikuntakorvaus, netto (ei päivitetty)]]</f>
        <v>3258439.8311148663</v>
      </c>
      <c r="S224" s="11"/>
      <c r="T224"/>
    </row>
    <row r="225" spans="1:20" ht="15">
      <c r="A225" s="32">
        <v>704</v>
      </c>
      <c r="B225" s="13" t="s">
        <v>230</v>
      </c>
      <c r="C225" s="15">
        <v>6436</v>
      </c>
      <c r="D225" s="15">
        <v>12120315.799999999</v>
      </c>
      <c r="E225" s="15">
        <v>929375.29866568663</v>
      </c>
      <c r="F225" s="231">
        <f>Yhteenveto[[#This Row],[Ikärakenne, laskennallinen kustannus]]+Yhteenveto[[#This Row],[Muut laskennalliset kustannukset ]]</f>
        <v>13049691.098665686</v>
      </c>
      <c r="G225" s="508">
        <v>1422.47</v>
      </c>
      <c r="H225" s="17">
        <v>9155016.9199999999</v>
      </c>
      <c r="I225" s="339">
        <f>Yhteenveto[[#This Row],[Laskennalliset kustannukset yhteensä]]-Yhteenveto[[#This Row],[Omarahoitusosuus, €]]</f>
        <v>3894674.1786656864</v>
      </c>
      <c r="J225" s="33">
        <v>238399.2795080535</v>
      </c>
      <c r="K225" s="34">
        <v>452511.69863510277</v>
      </c>
      <c r="L225" s="231">
        <f>Yhteenveto[[#This Row],[Valtionosuus omarahoitusosuuden jälkeen (välisumma)]]+Yhteenveto[[#This Row],[Lisäosat yhteensä]]+Yhteenveto[[#This Row],[Valtionosuuteen tehtävät vähennykset ja lisäykset, netto]]</f>
        <v>4585585.1568088429</v>
      </c>
      <c r="M225" s="34">
        <v>1317219.3164754522</v>
      </c>
      <c r="N225" s="303">
        <f>SUM(Yhteenveto[[#This Row],[Valtionosuus ennen verotuloihin perustuvaa valtionosuuden tasausta]]+Yhteenveto[[#This Row],[Verotuloihin perustuva valtionosuuden tasaus]])</f>
        <v>5902804.4732842948</v>
      </c>
      <c r="O225" s="241">
        <v>491997.0527872137</v>
      </c>
      <c r="P225" s="372">
        <f>SUM(Yhteenveto[[#This Row],[Kunnan  peruspalvelujen valtionosuus ]:[Veroperustemuutoksista johtuvien veromenetysten korvaus]])</f>
        <v>6394801.5260715084</v>
      </c>
      <c r="Q225" s="34">
        <v>58107.557499999937</v>
      </c>
      <c r="R225" s="341">
        <f>+Yhteenveto[[#This Row],[Kunnan  peruspalvelujen valtionosuus ]]+Yhteenveto[[#This Row],[Veroperustemuutoksista johtuvien veromenetysten korvaus]]+Yhteenveto[[#This Row],[Kotikuntakorvaus, netto (ei päivitetty)]]</f>
        <v>6452909.0835715085</v>
      </c>
      <c r="S225" s="11"/>
      <c r="T225"/>
    </row>
    <row r="226" spans="1:20" ht="15">
      <c r="A226" s="32">
        <v>707</v>
      </c>
      <c r="B226" s="13" t="s">
        <v>231</v>
      </c>
      <c r="C226" s="15">
        <v>1902</v>
      </c>
      <c r="D226" s="15">
        <v>1482052.05</v>
      </c>
      <c r="E226" s="15">
        <v>979278.24272599374</v>
      </c>
      <c r="F226" s="231">
        <f>Yhteenveto[[#This Row],[Ikärakenne, laskennallinen kustannus]]+Yhteenveto[[#This Row],[Muut laskennalliset kustannukset ]]</f>
        <v>2461330.2927259938</v>
      </c>
      <c r="G226" s="508">
        <v>1422.47</v>
      </c>
      <c r="H226" s="17">
        <v>2705537.94</v>
      </c>
      <c r="I226" s="339">
        <f>Yhteenveto[[#This Row],[Laskennalliset kustannukset yhteensä]]-Yhteenveto[[#This Row],[Omarahoitusosuus, €]]</f>
        <v>-244207.64727400616</v>
      </c>
      <c r="J226" s="33">
        <v>326000.70762186206</v>
      </c>
      <c r="K226" s="34">
        <v>-129512.30894675778</v>
      </c>
      <c r="L226" s="231">
        <f>Yhteenveto[[#This Row],[Valtionosuus omarahoitusosuuden jälkeen (välisumma)]]+Yhteenveto[[#This Row],[Lisäosat yhteensä]]+Yhteenveto[[#This Row],[Valtionosuuteen tehtävät vähennykset ja lisäykset, netto]]</f>
        <v>-47719.248598901875</v>
      </c>
      <c r="M226" s="34">
        <v>1400135.4425124393</v>
      </c>
      <c r="N226" s="303">
        <f>SUM(Yhteenveto[[#This Row],[Valtionosuus ennen verotuloihin perustuvaa valtionosuuden tasausta]]+Yhteenveto[[#This Row],[Verotuloihin perustuva valtionosuuden tasaus]])</f>
        <v>1352416.1939135375</v>
      </c>
      <c r="O226" s="241">
        <v>429742.6798343726</v>
      </c>
      <c r="P226" s="372">
        <f>SUM(Yhteenveto[[#This Row],[Kunnan  peruspalvelujen valtionosuus ]:[Veroperustemuutoksista johtuvien veromenetysten korvaus]])</f>
        <v>1782158.8737479101</v>
      </c>
      <c r="Q226" s="34">
        <v>-16410.350000000006</v>
      </c>
      <c r="R226" s="341">
        <f>+Yhteenveto[[#This Row],[Kunnan  peruspalvelujen valtionosuus ]]+Yhteenveto[[#This Row],[Veroperustemuutoksista johtuvien veromenetysten korvaus]]+Yhteenveto[[#This Row],[Kotikuntakorvaus, netto (ei päivitetty)]]</f>
        <v>1765748.52374791</v>
      </c>
      <c r="S226" s="11"/>
      <c r="T226"/>
    </row>
    <row r="227" spans="1:20" ht="15">
      <c r="A227" s="32">
        <v>710</v>
      </c>
      <c r="B227" s="13" t="s">
        <v>232</v>
      </c>
      <c r="C227" s="15">
        <v>27209</v>
      </c>
      <c r="D227" s="15">
        <v>38602249.579999998</v>
      </c>
      <c r="E227" s="15">
        <v>13263349.091714051</v>
      </c>
      <c r="F227" s="231">
        <f>Yhteenveto[[#This Row],[Ikärakenne, laskennallinen kustannus]]+Yhteenveto[[#This Row],[Muut laskennalliset kustannukset ]]</f>
        <v>51865598.671714053</v>
      </c>
      <c r="G227" s="508">
        <v>1422.47</v>
      </c>
      <c r="H227" s="17">
        <v>38703986.230000004</v>
      </c>
      <c r="I227" s="339">
        <f>Yhteenveto[[#This Row],[Laskennalliset kustannukset yhteensä]]-Yhteenveto[[#This Row],[Omarahoitusosuus, €]]</f>
        <v>13161612.441714048</v>
      </c>
      <c r="J227" s="33">
        <v>698697.01085976616</v>
      </c>
      <c r="K227" s="34">
        <v>-5107967.308104408</v>
      </c>
      <c r="L227" s="231">
        <f>Yhteenveto[[#This Row],[Valtionosuus omarahoitusosuuden jälkeen (välisumma)]]+Yhteenveto[[#This Row],[Lisäosat yhteensä]]+Yhteenveto[[#This Row],[Valtionosuuteen tehtävät vähennykset ja lisäykset, netto]]</f>
        <v>8752342.1444694065</v>
      </c>
      <c r="M227" s="34">
        <v>7429932.4004792701</v>
      </c>
      <c r="N227" s="303">
        <f>SUM(Yhteenveto[[#This Row],[Valtionosuus ennen verotuloihin perustuvaa valtionosuuden tasausta]]+Yhteenveto[[#This Row],[Verotuloihin perustuva valtionosuuden tasaus]])</f>
        <v>16182274.544948677</v>
      </c>
      <c r="O227" s="241">
        <v>2882367.0891176602</v>
      </c>
      <c r="P227" s="372">
        <f>SUM(Yhteenveto[[#This Row],[Kunnan  peruspalvelujen valtionosuus ]:[Veroperustemuutoksista johtuvien veromenetysten korvaus]])</f>
        <v>19064641.634066336</v>
      </c>
      <c r="Q227" s="34">
        <v>-1077784.0488000005</v>
      </c>
      <c r="R227" s="341">
        <f>+Yhteenveto[[#This Row],[Kunnan  peruspalvelujen valtionosuus ]]+Yhteenveto[[#This Row],[Veroperustemuutoksista johtuvien veromenetysten korvaus]]+Yhteenveto[[#This Row],[Kotikuntakorvaus, netto (ei päivitetty)]]</f>
        <v>17986857.585266337</v>
      </c>
      <c r="S227" s="11"/>
      <c r="T227"/>
    </row>
    <row r="228" spans="1:20" ht="15">
      <c r="A228" s="32">
        <v>729</v>
      </c>
      <c r="B228" s="13" t="s">
        <v>233</v>
      </c>
      <c r="C228" s="15">
        <v>8847</v>
      </c>
      <c r="D228" s="15">
        <v>11362552.230000002</v>
      </c>
      <c r="E228" s="15">
        <v>2922651.9582021893</v>
      </c>
      <c r="F228" s="231">
        <f>Yhteenveto[[#This Row],[Ikärakenne, laskennallinen kustannus]]+Yhteenveto[[#This Row],[Muut laskennalliset kustannukset ]]</f>
        <v>14285204.188202191</v>
      </c>
      <c r="G228" s="508">
        <v>1422.47</v>
      </c>
      <c r="H228" s="17">
        <v>12584592.09</v>
      </c>
      <c r="I228" s="339">
        <f>Yhteenveto[[#This Row],[Laskennalliset kustannukset yhteensä]]-Yhteenveto[[#This Row],[Omarahoitusosuus, €]]</f>
        <v>1700612.0982021913</v>
      </c>
      <c r="J228" s="33">
        <v>720014.79165738565</v>
      </c>
      <c r="K228" s="34">
        <v>-584202.98130259244</v>
      </c>
      <c r="L228" s="231">
        <f>Yhteenveto[[#This Row],[Valtionosuus omarahoitusosuuden jälkeen (välisumma)]]+Yhteenveto[[#This Row],[Lisäosat yhteensä]]+Yhteenveto[[#This Row],[Valtionosuuteen tehtävät vähennykset ja lisäykset, netto]]</f>
        <v>1836423.9085569843</v>
      </c>
      <c r="M228" s="34">
        <v>5036282.7650245652</v>
      </c>
      <c r="N228" s="303">
        <f>SUM(Yhteenveto[[#This Row],[Valtionosuus ennen verotuloihin perustuvaa valtionosuuden tasausta]]+Yhteenveto[[#This Row],[Verotuloihin perustuva valtionosuuden tasaus]])</f>
        <v>6872706.6735815499</v>
      </c>
      <c r="O228" s="241">
        <v>1329415.8612721805</v>
      </c>
      <c r="P228" s="372">
        <f>SUM(Yhteenveto[[#This Row],[Kunnan  peruspalvelujen valtionosuus ]:[Veroperustemuutoksista johtuvien veromenetysten korvaus]])</f>
        <v>8202122.5348537304</v>
      </c>
      <c r="Q228" s="34">
        <v>-38265.952500000029</v>
      </c>
      <c r="R228" s="341">
        <f>+Yhteenveto[[#This Row],[Kunnan  peruspalvelujen valtionosuus ]]+Yhteenveto[[#This Row],[Veroperustemuutoksista johtuvien veromenetysten korvaus]]+Yhteenveto[[#This Row],[Kotikuntakorvaus, netto (ei päivitetty)]]</f>
        <v>8163856.5823537307</v>
      </c>
      <c r="S228" s="11"/>
      <c r="T228"/>
    </row>
    <row r="229" spans="1:20" ht="15">
      <c r="A229" s="32">
        <v>732</v>
      </c>
      <c r="B229" s="13" t="s">
        <v>234</v>
      </c>
      <c r="C229" s="15">
        <v>3344</v>
      </c>
      <c r="D229" s="15">
        <v>2892415.79</v>
      </c>
      <c r="E229" s="15">
        <v>3591629.7714545024</v>
      </c>
      <c r="F229" s="231">
        <f>Yhteenveto[[#This Row],[Ikärakenne, laskennallinen kustannus]]+Yhteenveto[[#This Row],[Muut laskennalliset kustannukset ]]</f>
        <v>6484045.5614545029</v>
      </c>
      <c r="G229" s="508">
        <v>1422.47</v>
      </c>
      <c r="H229" s="17">
        <v>4756739.68</v>
      </c>
      <c r="I229" s="339">
        <f>Yhteenveto[[#This Row],[Laskennalliset kustannukset yhteensä]]-Yhteenveto[[#This Row],[Omarahoitusosuus, €]]</f>
        <v>1727305.8814545032</v>
      </c>
      <c r="J229" s="33">
        <v>1274779.1528660057</v>
      </c>
      <c r="K229" s="34">
        <v>-373056.5550585544</v>
      </c>
      <c r="L229" s="231">
        <f>Yhteenveto[[#This Row],[Valtionosuus omarahoitusosuuden jälkeen (välisumma)]]+Yhteenveto[[#This Row],[Lisäosat yhteensä]]+Yhteenveto[[#This Row],[Valtionosuuteen tehtävät vähennykset ja lisäykset, netto]]</f>
        <v>2629028.4792619548</v>
      </c>
      <c r="M229" s="34">
        <v>1454192.0889089955</v>
      </c>
      <c r="N229" s="303">
        <f>SUM(Yhteenveto[[#This Row],[Valtionosuus ennen verotuloihin perustuvaa valtionosuuden tasausta]]+Yhteenveto[[#This Row],[Verotuloihin perustuva valtionosuuden tasaus]])</f>
        <v>4083220.5681709503</v>
      </c>
      <c r="O229" s="241">
        <v>574909.70712834504</v>
      </c>
      <c r="P229" s="372">
        <f>SUM(Yhteenveto[[#This Row],[Kunnan  peruspalvelujen valtionosuus ]:[Veroperustemuutoksista johtuvien veromenetysten korvaus]])</f>
        <v>4658130.2752992958</v>
      </c>
      <c r="Q229" s="34">
        <v>-96970.25</v>
      </c>
      <c r="R229" s="341">
        <f>+Yhteenveto[[#This Row],[Kunnan  peruspalvelujen valtionosuus ]]+Yhteenveto[[#This Row],[Veroperustemuutoksista johtuvien veromenetysten korvaus]]+Yhteenveto[[#This Row],[Kotikuntakorvaus, netto (ei päivitetty)]]</f>
        <v>4561160.0252992958</v>
      </c>
      <c r="S229" s="11"/>
      <c r="T229"/>
    </row>
    <row r="230" spans="1:20" ht="15">
      <c r="A230" s="32">
        <v>734</v>
      </c>
      <c r="B230" s="13" t="s">
        <v>235</v>
      </c>
      <c r="C230" s="15">
        <v>51100</v>
      </c>
      <c r="D230" s="15">
        <v>69092777.019999996</v>
      </c>
      <c r="E230" s="15">
        <v>16984772.313809026</v>
      </c>
      <c r="F230" s="231">
        <f>Yhteenveto[[#This Row],[Ikärakenne, laskennallinen kustannus]]+Yhteenveto[[#This Row],[Muut laskennalliset kustannukset ]]</f>
        <v>86077549.333809018</v>
      </c>
      <c r="G230" s="508">
        <v>1422.47</v>
      </c>
      <c r="H230" s="17">
        <v>72688217</v>
      </c>
      <c r="I230" s="339">
        <f>Yhteenveto[[#This Row],[Laskennalliset kustannukset yhteensä]]-Yhteenveto[[#This Row],[Omarahoitusosuus, €]]</f>
        <v>13389332.333809018</v>
      </c>
      <c r="J230" s="33">
        <v>1555561.1994150155</v>
      </c>
      <c r="K230" s="34">
        <v>-4576337.6953138234</v>
      </c>
      <c r="L230" s="231">
        <f>Yhteenveto[[#This Row],[Valtionosuus omarahoitusosuuden jälkeen (välisumma)]]+Yhteenveto[[#This Row],[Lisäosat yhteensä]]+Yhteenveto[[#This Row],[Valtionosuuteen tehtävät vähennykset ja lisäykset, netto]]</f>
        <v>10368555.837910209</v>
      </c>
      <c r="M230" s="34">
        <v>14507137.243077466</v>
      </c>
      <c r="N230" s="303">
        <f>SUM(Yhteenveto[[#This Row],[Valtionosuus ennen verotuloihin perustuvaa valtionosuuden tasausta]]+Yhteenveto[[#This Row],[Verotuloihin perustuva valtionosuuden tasaus]])</f>
        <v>24875693.080987677</v>
      </c>
      <c r="O230" s="241">
        <v>6064033.5312326737</v>
      </c>
      <c r="P230" s="372">
        <f>SUM(Yhteenveto[[#This Row],[Kunnan  peruspalvelujen valtionosuus ]:[Veroperustemuutoksista johtuvien veromenetysten korvaus]])</f>
        <v>30939726.612220351</v>
      </c>
      <c r="Q230" s="34">
        <v>-642196.66950000031</v>
      </c>
      <c r="R230" s="341">
        <f>+Yhteenveto[[#This Row],[Kunnan  peruspalvelujen valtionosuus ]]+Yhteenveto[[#This Row],[Veroperustemuutoksista johtuvien veromenetysten korvaus]]+Yhteenveto[[#This Row],[Kotikuntakorvaus, netto (ei päivitetty)]]</f>
        <v>30297529.94272035</v>
      </c>
      <c r="S230" s="11"/>
      <c r="T230"/>
    </row>
    <row r="231" spans="1:20" ht="15">
      <c r="A231" s="32">
        <v>738</v>
      </c>
      <c r="B231" s="13" t="s">
        <v>236</v>
      </c>
      <c r="C231" s="15">
        <v>2974</v>
      </c>
      <c r="D231" s="15">
        <v>4608292.8999999994</v>
      </c>
      <c r="E231" s="15">
        <v>843285.78175054782</v>
      </c>
      <c r="F231" s="231">
        <f>Yhteenveto[[#This Row],[Ikärakenne, laskennallinen kustannus]]+Yhteenveto[[#This Row],[Muut laskennalliset kustannukset ]]</f>
        <v>5451578.6817505471</v>
      </c>
      <c r="G231" s="508">
        <v>1422.47</v>
      </c>
      <c r="H231" s="17">
        <v>4230425.78</v>
      </c>
      <c r="I231" s="339">
        <f>Yhteenveto[[#This Row],[Laskennalliset kustannukset yhteensä]]-Yhteenveto[[#This Row],[Omarahoitusosuus, €]]</f>
        <v>1221152.9017505469</v>
      </c>
      <c r="J231" s="33">
        <v>66428.332664428774</v>
      </c>
      <c r="K231" s="34">
        <v>-108657.98263354684</v>
      </c>
      <c r="L231" s="231">
        <f>Yhteenveto[[#This Row],[Valtionosuus omarahoitusosuuden jälkeen (välisumma)]]+Yhteenveto[[#This Row],[Lisäosat yhteensä]]+Yhteenveto[[#This Row],[Valtionosuuteen tehtävät vähennykset ja lisäykset, netto]]</f>
        <v>1178923.2517814287</v>
      </c>
      <c r="M231" s="34">
        <v>839731.50012905872</v>
      </c>
      <c r="N231" s="303">
        <f>SUM(Yhteenveto[[#This Row],[Valtionosuus ennen verotuloihin perustuvaa valtionosuuden tasausta]]+Yhteenveto[[#This Row],[Verotuloihin perustuva valtionosuuden tasaus]])</f>
        <v>2018654.7519104874</v>
      </c>
      <c r="O231" s="241">
        <v>372753.54972586839</v>
      </c>
      <c r="P231" s="372">
        <f>SUM(Yhteenveto[[#This Row],[Kunnan  peruspalvelujen valtionosuus ]:[Veroperustemuutoksista johtuvien veromenetysten korvaus]])</f>
        <v>2391408.3016363559</v>
      </c>
      <c r="Q231" s="34">
        <v>47202.13400000002</v>
      </c>
      <c r="R231" s="341">
        <f>+Yhteenveto[[#This Row],[Kunnan  peruspalvelujen valtionosuus ]]+Yhteenveto[[#This Row],[Veroperustemuutoksista johtuvien veromenetysten korvaus]]+Yhteenveto[[#This Row],[Kotikuntakorvaus, netto (ei päivitetty)]]</f>
        <v>2438610.435636356</v>
      </c>
      <c r="S231" s="11"/>
      <c r="T231"/>
    </row>
    <row r="232" spans="1:20" ht="15">
      <c r="A232" s="32">
        <v>739</v>
      </c>
      <c r="B232" s="13" t="s">
        <v>237</v>
      </c>
      <c r="C232" s="15">
        <v>3216</v>
      </c>
      <c r="D232" s="15">
        <v>3721999.3</v>
      </c>
      <c r="E232" s="15">
        <v>1021032.2917872171</v>
      </c>
      <c r="F232" s="231">
        <f>Yhteenveto[[#This Row],[Ikärakenne, laskennallinen kustannus]]+Yhteenveto[[#This Row],[Muut laskennalliset kustannukset ]]</f>
        <v>4743031.5917872172</v>
      </c>
      <c r="G232" s="508">
        <v>1422.47</v>
      </c>
      <c r="H232" s="17">
        <v>4574663.5200000005</v>
      </c>
      <c r="I232" s="339">
        <f>Yhteenveto[[#This Row],[Laskennalliset kustannukset yhteensä]]-Yhteenveto[[#This Row],[Omarahoitusosuus, €]]</f>
        <v>168368.0717872167</v>
      </c>
      <c r="J232" s="33">
        <v>232752.38226799472</v>
      </c>
      <c r="K232" s="34">
        <v>1943713.0140665397</v>
      </c>
      <c r="L232" s="231">
        <f>Yhteenveto[[#This Row],[Valtionosuus omarahoitusosuuden jälkeen (välisumma)]]+Yhteenveto[[#This Row],[Lisäosat yhteensä]]+Yhteenveto[[#This Row],[Valtionosuuteen tehtävät vähennykset ja lisäykset, netto]]</f>
        <v>2344833.4681217512</v>
      </c>
      <c r="M232" s="34">
        <v>1307486.4404149109</v>
      </c>
      <c r="N232" s="303">
        <f>SUM(Yhteenveto[[#This Row],[Valtionosuus ennen verotuloihin perustuvaa valtionosuuden tasausta]]+Yhteenveto[[#This Row],[Verotuloihin perustuva valtionosuuden tasaus]])</f>
        <v>3652319.9085366623</v>
      </c>
      <c r="O232" s="241">
        <v>525232.59579713224</v>
      </c>
      <c r="P232" s="372">
        <f>SUM(Yhteenveto[[#This Row],[Kunnan  peruspalvelujen valtionosuus ]:[Veroperustemuutoksista johtuvien veromenetysten korvaus]])</f>
        <v>4177552.5043337946</v>
      </c>
      <c r="Q232" s="34">
        <v>98133.893000000011</v>
      </c>
      <c r="R232" s="341">
        <f>+Yhteenveto[[#This Row],[Kunnan  peruspalvelujen valtionosuus ]]+Yhteenveto[[#This Row],[Veroperustemuutoksista johtuvien veromenetysten korvaus]]+Yhteenveto[[#This Row],[Kotikuntakorvaus, netto (ei päivitetty)]]</f>
        <v>4275686.3973337943</v>
      </c>
      <c r="S232" s="11"/>
      <c r="T232"/>
    </row>
    <row r="233" spans="1:20" ht="15">
      <c r="A233" s="32">
        <v>740</v>
      </c>
      <c r="B233" s="13" t="s">
        <v>238</v>
      </c>
      <c r="C233" s="15">
        <v>31843</v>
      </c>
      <c r="D233" s="15">
        <v>36100064.520000003</v>
      </c>
      <c r="E233" s="15">
        <v>11115939.136568787</v>
      </c>
      <c r="F233" s="231">
        <f>Yhteenveto[[#This Row],[Ikärakenne, laskennallinen kustannus]]+Yhteenveto[[#This Row],[Muut laskennalliset kustannukset ]]</f>
        <v>47216003.656568788</v>
      </c>
      <c r="G233" s="508">
        <v>1422.47</v>
      </c>
      <c r="H233" s="17">
        <v>45295712.210000001</v>
      </c>
      <c r="I233" s="339">
        <f>Yhteenveto[[#This Row],[Laskennalliset kustannukset yhteensä]]-Yhteenveto[[#This Row],[Omarahoitusosuus, €]]</f>
        <v>1920291.4465687871</v>
      </c>
      <c r="J233" s="33">
        <v>1750504.5544112073</v>
      </c>
      <c r="K233" s="34">
        <v>-8168572.0058775693</v>
      </c>
      <c r="L233" s="231">
        <f>Yhteenveto[[#This Row],[Valtionosuus omarahoitusosuuden jälkeen (välisumma)]]+Yhteenveto[[#This Row],[Lisäosat yhteensä]]+Yhteenveto[[#This Row],[Valtionosuuteen tehtävät vähennykset ja lisäykset, netto]]</f>
        <v>-4497776.0048975749</v>
      </c>
      <c r="M233" s="34">
        <v>12334203.288639277</v>
      </c>
      <c r="N233" s="303">
        <f>SUM(Yhteenveto[[#This Row],[Valtionosuus ennen verotuloihin perustuvaa valtionosuuden tasausta]]+Yhteenveto[[#This Row],[Verotuloihin perustuva valtionosuuden tasaus]])</f>
        <v>7836427.2837417023</v>
      </c>
      <c r="O233" s="241">
        <v>3986399.7455965029</v>
      </c>
      <c r="P233" s="372">
        <f>SUM(Yhteenveto[[#This Row],[Kunnan  peruspalvelujen valtionosuus ]:[Veroperustemuutoksista johtuvien veromenetysten korvaus]])</f>
        <v>11822827.029338205</v>
      </c>
      <c r="Q233" s="34">
        <v>-347377.27250000025</v>
      </c>
      <c r="R233" s="341">
        <f>+Yhteenveto[[#This Row],[Kunnan  peruspalvelujen valtionosuus ]]+Yhteenveto[[#This Row],[Veroperustemuutoksista johtuvien veromenetysten korvaus]]+Yhteenveto[[#This Row],[Kotikuntakorvaus, netto (ei päivitetty)]]</f>
        <v>11475449.756838204</v>
      </c>
      <c r="S233" s="11"/>
      <c r="T233"/>
    </row>
    <row r="234" spans="1:20" ht="15">
      <c r="A234" s="32">
        <v>742</v>
      </c>
      <c r="B234" s="13" t="s">
        <v>239</v>
      </c>
      <c r="C234" s="15">
        <v>978</v>
      </c>
      <c r="D234" s="15">
        <v>1041052.48</v>
      </c>
      <c r="E234" s="15">
        <v>1036313.7760494954</v>
      </c>
      <c r="F234" s="231">
        <f>Yhteenveto[[#This Row],[Ikärakenne, laskennallinen kustannus]]+Yhteenveto[[#This Row],[Muut laskennalliset kustannukset ]]</f>
        <v>2077366.2560494954</v>
      </c>
      <c r="G234" s="508">
        <v>1422.47</v>
      </c>
      <c r="H234" s="17">
        <v>1391175.66</v>
      </c>
      <c r="I234" s="339">
        <f>Yhteenveto[[#This Row],[Laskennalliset kustannukset yhteensä]]-Yhteenveto[[#This Row],[Omarahoitusosuus, €]]</f>
        <v>686190.59604949551</v>
      </c>
      <c r="J234" s="33">
        <v>394001.8325154435</v>
      </c>
      <c r="K234" s="34">
        <v>203452.6940870393</v>
      </c>
      <c r="L234" s="231">
        <f>Yhteenveto[[#This Row],[Valtionosuus omarahoitusosuuden jälkeen (välisumma)]]+Yhteenveto[[#This Row],[Lisäosat yhteensä]]+Yhteenveto[[#This Row],[Valtionosuuteen tehtävät vähennykset ja lisäykset, netto]]</f>
        <v>1283645.1226519782</v>
      </c>
      <c r="M234" s="34">
        <v>-885.52765472317822</v>
      </c>
      <c r="N234" s="303">
        <f>SUM(Yhteenveto[[#This Row],[Valtionosuus ennen verotuloihin perustuvaa valtionosuuden tasausta]]+Yhteenveto[[#This Row],[Verotuloihin perustuva valtionosuuden tasaus]])</f>
        <v>1282759.5949972549</v>
      </c>
      <c r="O234" s="241">
        <v>168298.41816568087</v>
      </c>
      <c r="P234" s="372">
        <f>SUM(Yhteenveto[[#This Row],[Kunnan  peruspalvelujen valtionosuus ]:[Veroperustemuutoksista johtuvien veromenetysten korvaus]])</f>
        <v>1451058.0131629359</v>
      </c>
      <c r="Q234" s="34">
        <v>0</v>
      </c>
      <c r="R234" s="341">
        <f>+Yhteenveto[[#This Row],[Kunnan  peruspalvelujen valtionosuus ]]+Yhteenveto[[#This Row],[Veroperustemuutoksista johtuvien veromenetysten korvaus]]+Yhteenveto[[#This Row],[Kotikuntakorvaus, netto (ei päivitetty)]]</f>
        <v>1451058.0131629359</v>
      </c>
      <c r="S234" s="11"/>
      <c r="T234"/>
    </row>
    <row r="235" spans="1:20" ht="15">
      <c r="A235" s="32">
        <v>743</v>
      </c>
      <c r="B235" s="13" t="s">
        <v>240</v>
      </c>
      <c r="C235" s="15">
        <v>66160</v>
      </c>
      <c r="D235" s="15">
        <v>108524505.00000001</v>
      </c>
      <c r="E235" s="15">
        <v>13830841.409056528</v>
      </c>
      <c r="F235" s="231">
        <f>Yhteenveto[[#This Row],[Ikärakenne, laskennallinen kustannus]]+Yhteenveto[[#This Row],[Muut laskennalliset kustannukset ]]</f>
        <v>122355346.40905654</v>
      </c>
      <c r="G235" s="508">
        <v>1422.47</v>
      </c>
      <c r="H235" s="17">
        <v>94110615.200000003</v>
      </c>
      <c r="I235" s="339">
        <f>Yhteenveto[[#This Row],[Laskennalliset kustannukset yhteensä]]-Yhteenveto[[#This Row],[Omarahoitusosuus, €]]</f>
        <v>28244731.209056541</v>
      </c>
      <c r="J235" s="33">
        <v>3071211.0441519623</v>
      </c>
      <c r="K235" s="34">
        <v>-16464228.640415562</v>
      </c>
      <c r="L235" s="231">
        <f>Yhteenveto[[#This Row],[Valtionosuus omarahoitusosuuden jälkeen (välisumma)]]+Yhteenveto[[#This Row],[Lisäosat yhteensä]]+Yhteenveto[[#This Row],[Valtionosuuteen tehtävät vähennykset ja lisäykset, netto]]</f>
        <v>14851713.612792941</v>
      </c>
      <c r="M235" s="34">
        <v>12505707.609423356</v>
      </c>
      <c r="N235" s="303">
        <f>SUM(Yhteenveto[[#This Row],[Valtionosuus ennen verotuloihin perustuvaa valtionosuuden tasausta]]+Yhteenveto[[#This Row],[Verotuloihin perustuva valtionosuuden tasaus]])</f>
        <v>27357421.222216297</v>
      </c>
      <c r="O235" s="241">
        <v>5303946.0687742215</v>
      </c>
      <c r="P235" s="372">
        <f>SUM(Yhteenveto[[#This Row],[Kunnan  peruspalvelujen valtionosuus ]:[Veroperustemuutoksista johtuvien veromenetysten korvaus]])</f>
        <v>32661367.290990517</v>
      </c>
      <c r="Q235" s="34">
        <v>-200564.31400000001</v>
      </c>
      <c r="R235" s="341">
        <f>+Yhteenveto[[#This Row],[Kunnan  peruspalvelujen valtionosuus ]]+Yhteenveto[[#This Row],[Veroperustemuutoksista johtuvien veromenetysten korvaus]]+Yhteenveto[[#This Row],[Kotikuntakorvaus, netto (ei päivitetty)]]</f>
        <v>32460802.976990517</v>
      </c>
      <c r="S235" s="11"/>
      <c r="T235"/>
    </row>
    <row r="236" spans="1:20" ht="15">
      <c r="A236" s="32">
        <v>746</v>
      </c>
      <c r="B236" s="13" t="s">
        <v>241</v>
      </c>
      <c r="C236" s="15">
        <v>4713</v>
      </c>
      <c r="D236" s="15">
        <v>10947499.26</v>
      </c>
      <c r="E236" s="15">
        <v>1518146.0529332929</v>
      </c>
      <c r="F236" s="231">
        <f>Yhteenveto[[#This Row],[Ikärakenne, laskennallinen kustannus]]+Yhteenveto[[#This Row],[Muut laskennalliset kustannukset ]]</f>
        <v>12465645.312933292</v>
      </c>
      <c r="G236" s="508">
        <v>1422.47</v>
      </c>
      <c r="H236" s="17">
        <v>6704101.1100000003</v>
      </c>
      <c r="I236" s="339">
        <f>Yhteenveto[[#This Row],[Laskennalliset kustannukset yhteensä]]-Yhteenveto[[#This Row],[Omarahoitusosuus, €]]</f>
        <v>5761544.2029332919</v>
      </c>
      <c r="J236" s="33">
        <v>219024.37017147971</v>
      </c>
      <c r="K236" s="34">
        <v>-1112342.83147768</v>
      </c>
      <c r="L236" s="231">
        <f>Yhteenveto[[#This Row],[Valtionosuus omarahoitusosuuden jälkeen (välisumma)]]+Yhteenveto[[#This Row],[Lisäosat yhteensä]]+Yhteenveto[[#This Row],[Valtionosuuteen tehtävät vähennykset ja lisäykset, netto]]</f>
        <v>4868225.7416270915</v>
      </c>
      <c r="M236" s="34">
        <v>1825125.3383603937</v>
      </c>
      <c r="N236" s="303">
        <f>SUM(Yhteenveto[[#This Row],[Valtionosuus ennen verotuloihin perustuvaa valtionosuuden tasausta]]+Yhteenveto[[#This Row],[Verotuloihin perustuva valtionosuuden tasaus]])</f>
        <v>6693351.079987485</v>
      </c>
      <c r="O236" s="241">
        <v>585740.33810837299</v>
      </c>
      <c r="P236" s="372">
        <f>SUM(Yhteenveto[[#This Row],[Kunnan  peruspalvelujen valtionosuus ]:[Veroperustemuutoksista johtuvien veromenetysten korvaus]])</f>
        <v>7279091.4180958578</v>
      </c>
      <c r="Q236" s="34">
        <v>25809.004999999997</v>
      </c>
      <c r="R236" s="341">
        <f>+Yhteenveto[[#This Row],[Kunnan  peruspalvelujen valtionosuus ]]+Yhteenveto[[#This Row],[Veroperustemuutoksista johtuvien veromenetysten korvaus]]+Yhteenveto[[#This Row],[Kotikuntakorvaus, netto (ei päivitetty)]]</f>
        <v>7304900.4230958577</v>
      </c>
      <c r="S236" s="11"/>
      <c r="T236"/>
    </row>
    <row r="237" spans="1:20" ht="15">
      <c r="A237" s="32">
        <v>747</v>
      </c>
      <c r="B237" s="13" t="s">
        <v>242</v>
      </c>
      <c r="C237" s="15">
        <v>1283</v>
      </c>
      <c r="D237" s="15">
        <v>1394919.7899999998</v>
      </c>
      <c r="E237" s="15">
        <v>591688.66823172336</v>
      </c>
      <c r="F237" s="231">
        <f>Yhteenveto[[#This Row],[Ikärakenne, laskennallinen kustannus]]+Yhteenveto[[#This Row],[Muut laskennalliset kustannukset ]]</f>
        <v>1986608.4582317232</v>
      </c>
      <c r="G237" s="508">
        <v>1422.47</v>
      </c>
      <c r="H237" s="17">
        <v>1825029.01</v>
      </c>
      <c r="I237" s="339">
        <f>Yhteenveto[[#This Row],[Laskennalliset kustannukset yhteensä]]-Yhteenveto[[#This Row],[Omarahoitusosuus, €]]</f>
        <v>161579.44823172316</v>
      </c>
      <c r="J237" s="33">
        <v>179975.99254158192</v>
      </c>
      <c r="K237" s="34">
        <v>646220.74702521891</v>
      </c>
      <c r="L237" s="231">
        <f>Yhteenveto[[#This Row],[Valtionosuus omarahoitusosuuden jälkeen (välisumma)]]+Yhteenveto[[#This Row],[Lisäosat yhteensä]]+Yhteenveto[[#This Row],[Valtionosuuteen tehtävät vähennykset ja lisäykset, netto]]</f>
        <v>987776.18779852404</v>
      </c>
      <c r="M237" s="34">
        <v>681958.43650337716</v>
      </c>
      <c r="N237" s="303">
        <f>SUM(Yhteenveto[[#This Row],[Valtionosuus ennen verotuloihin perustuvaa valtionosuuden tasausta]]+Yhteenveto[[#This Row],[Verotuloihin perustuva valtionosuuden tasaus]])</f>
        <v>1669734.6243019011</v>
      </c>
      <c r="O237" s="241">
        <v>263160.0820911185</v>
      </c>
      <c r="P237" s="372">
        <f>SUM(Yhteenveto[[#This Row],[Kunnan  peruspalvelujen valtionosuus ]:[Veroperustemuutoksista johtuvien veromenetysten korvaus]])</f>
        <v>1932894.7063930195</v>
      </c>
      <c r="Q237" s="34">
        <v>50872.085000000021</v>
      </c>
      <c r="R237" s="341">
        <f>+Yhteenveto[[#This Row],[Kunnan  peruspalvelujen valtionosuus ]]+Yhteenveto[[#This Row],[Veroperustemuutoksista johtuvien veromenetysten korvaus]]+Yhteenveto[[#This Row],[Kotikuntakorvaus, netto (ei päivitetty)]]</f>
        <v>1983766.7913930195</v>
      </c>
      <c r="S237" s="11"/>
      <c r="T237"/>
    </row>
    <row r="238" spans="1:20" ht="15">
      <c r="A238" s="32">
        <v>748</v>
      </c>
      <c r="B238" s="13" t="s">
        <v>243</v>
      </c>
      <c r="C238" s="15">
        <v>4837</v>
      </c>
      <c r="D238" s="15">
        <v>9718618.0500000007</v>
      </c>
      <c r="E238" s="15">
        <v>1616834.5208632057</v>
      </c>
      <c r="F238" s="231">
        <f>Yhteenveto[[#This Row],[Ikärakenne, laskennallinen kustannus]]+Yhteenveto[[#This Row],[Muut laskennalliset kustannukset ]]</f>
        <v>11335452.570863206</v>
      </c>
      <c r="G238" s="508">
        <v>1422.47</v>
      </c>
      <c r="H238" s="17">
        <v>6880487.3900000006</v>
      </c>
      <c r="I238" s="339">
        <f>Yhteenveto[[#This Row],[Laskennalliset kustannukset yhteensä]]-Yhteenveto[[#This Row],[Omarahoitusosuus, €]]</f>
        <v>4454965.1808632053</v>
      </c>
      <c r="J238" s="33">
        <v>315556.58976554242</v>
      </c>
      <c r="K238" s="34">
        <v>-2030216.0058671134</v>
      </c>
      <c r="L238" s="231">
        <f>Yhteenveto[[#This Row],[Valtionosuus omarahoitusosuuden jälkeen (välisumma)]]+Yhteenveto[[#This Row],[Lisäosat yhteensä]]+Yhteenveto[[#This Row],[Valtionosuuteen tehtävät vähennykset ja lisäykset, netto]]</f>
        <v>2740305.7647616342</v>
      </c>
      <c r="M238" s="34">
        <v>2477731.9411266102</v>
      </c>
      <c r="N238" s="303">
        <f>SUM(Yhteenveto[[#This Row],[Valtionosuus ennen verotuloihin perustuvaa valtionosuuden tasausta]]+Yhteenveto[[#This Row],[Verotuloihin perustuva valtionosuuden tasaus]])</f>
        <v>5218037.7058882443</v>
      </c>
      <c r="O238" s="241">
        <v>686244.46734877187</v>
      </c>
      <c r="P238" s="372">
        <f>SUM(Yhteenveto[[#This Row],[Kunnan  peruspalvelujen valtionosuus ]:[Veroperustemuutoksista johtuvien veromenetysten korvaus]])</f>
        <v>5904282.1732370164</v>
      </c>
      <c r="Q238" s="34">
        <v>255106.34999999998</v>
      </c>
      <c r="R238" s="341">
        <f>+Yhteenveto[[#This Row],[Kunnan  peruspalvelujen valtionosuus ]]+Yhteenveto[[#This Row],[Veroperustemuutoksista johtuvien veromenetysten korvaus]]+Yhteenveto[[#This Row],[Kotikuntakorvaus, netto (ei päivitetty)]]</f>
        <v>6159388.5232370161</v>
      </c>
      <c r="S238" s="11"/>
      <c r="T238"/>
    </row>
    <row r="239" spans="1:20" ht="15">
      <c r="A239" s="32">
        <v>749</v>
      </c>
      <c r="B239" s="13" t="s">
        <v>244</v>
      </c>
      <c r="C239" s="15">
        <v>21290</v>
      </c>
      <c r="D239" s="15">
        <v>39082625.74000001</v>
      </c>
      <c r="E239" s="15">
        <v>3412187.3156683496</v>
      </c>
      <c r="F239" s="231">
        <f>Yhteenveto[[#This Row],[Ikärakenne, laskennallinen kustannus]]+Yhteenveto[[#This Row],[Muut laskennalliset kustannukset ]]</f>
        <v>42494813.055668361</v>
      </c>
      <c r="G239" s="508">
        <v>1422.47</v>
      </c>
      <c r="H239" s="17">
        <v>30284386.300000001</v>
      </c>
      <c r="I239" s="339">
        <f>Yhteenveto[[#This Row],[Laskennalliset kustannukset yhteensä]]-Yhteenveto[[#This Row],[Omarahoitusosuus, €]]</f>
        <v>12210426.755668361</v>
      </c>
      <c r="J239" s="33">
        <v>678863.69503408531</v>
      </c>
      <c r="K239" s="34">
        <v>-5889206.9741012678</v>
      </c>
      <c r="L239" s="231">
        <f>Yhteenveto[[#This Row],[Valtionosuus omarahoitusosuuden jälkeen (välisumma)]]+Yhteenveto[[#This Row],[Lisäosat yhteensä]]+Yhteenveto[[#This Row],[Valtionosuuteen tehtävät vähennykset ja lisäykset, netto]]</f>
        <v>7000083.4766011778</v>
      </c>
      <c r="M239" s="34">
        <v>3455010.8245916427</v>
      </c>
      <c r="N239" s="303">
        <f>SUM(Yhteenveto[[#This Row],[Valtionosuus ennen verotuloihin perustuvaa valtionosuuden tasausta]]+Yhteenveto[[#This Row],[Verotuloihin perustuva valtionosuuden tasaus]])</f>
        <v>10455094.30119282</v>
      </c>
      <c r="O239" s="241">
        <v>1394369.3195096496</v>
      </c>
      <c r="P239" s="372">
        <f>SUM(Yhteenveto[[#This Row],[Kunnan  peruspalvelujen valtionosuus ]:[Veroperustemuutoksista johtuvien veromenetysten korvaus]])</f>
        <v>11849463.62070247</v>
      </c>
      <c r="Q239" s="34">
        <v>33839.633550000028</v>
      </c>
      <c r="R239" s="341">
        <f>+Yhteenveto[[#This Row],[Kunnan  peruspalvelujen valtionosuus ]]+Yhteenveto[[#This Row],[Veroperustemuutoksista johtuvien veromenetysten korvaus]]+Yhteenveto[[#This Row],[Kotikuntakorvaus, netto (ei päivitetty)]]</f>
        <v>11883303.254252469</v>
      </c>
      <c r="S239" s="11"/>
      <c r="T239"/>
    </row>
    <row r="240" spans="1:20" ht="15">
      <c r="A240" s="32">
        <v>751</v>
      </c>
      <c r="B240" s="13" t="s">
        <v>245</v>
      </c>
      <c r="C240" s="15">
        <v>2828</v>
      </c>
      <c r="D240" s="15">
        <v>3675007.1599999997</v>
      </c>
      <c r="E240" s="15">
        <v>1580427.4651206667</v>
      </c>
      <c r="F240" s="231">
        <f>Yhteenveto[[#This Row],[Ikärakenne, laskennallinen kustannus]]+Yhteenveto[[#This Row],[Muut laskennalliset kustannukset ]]</f>
        <v>5255434.6251206659</v>
      </c>
      <c r="G240" s="508">
        <v>1422.47</v>
      </c>
      <c r="H240" s="17">
        <v>4022745.16</v>
      </c>
      <c r="I240" s="339">
        <f>Yhteenveto[[#This Row],[Laskennalliset kustannukset yhteensä]]-Yhteenveto[[#This Row],[Omarahoitusosuus, €]]</f>
        <v>1232689.4651206657</v>
      </c>
      <c r="J240" s="33">
        <v>217518.61584672768</v>
      </c>
      <c r="K240" s="34">
        <v>182220.23716628124</v>
      </c>
      <c r="L240" s="231">
        <f>Yhteenveto[[#This Row],[Valtionosuus omarahoitusosuuden jälkeen (välisumma)]]+Yhteenveto[[#This Row],[Lisäosat yhteensä]]+Yhteenveto[[#This Row],[Valtionosuuteen tehtävät vähennykset ja lisäykset, netto]]</f>
        <v>1632428.3181336748</v>
      </c>
      <c r="M240" s="34">
        <v>1297837.1305163587</v>
      </c>
      <c r="N240" s="303">
        <f>SUM(Yhteenveto[[#This Row],[Valtionosuus ennen verotuloihin perustuvaa valtionosuuden tasausta]]+Yhteenveto[[#This Row],[Verotuloihin perustuva valtionosuuden tasaus]])</f>
        <v>2930265.4486500332</v>
      </c>
      <c r="O240" s="241">
        <v>325918.93425764452</v>
      </c>
      <c r="P240" s="372">
        <f>SUM(Yhteenveto[[#This Row],[Kunnan  peruspalvelujen valtionosuus ]:[Veroperustemuutoksista johtuvien veromenetysten korvaus]])</f>
        <v>3256184.3829076779</v>
      </c>
      <c r="Q240" s="34">
        <v>17902.200000000012</v>
      </c>
      <c r="R240" s="341">
        <f>+Yhteenveto[[#This Row],[Kunnan  peruspalvelujen valtionosuus ]]+Yhteenveto[[#This Row],[Veroperustemuutoksista johtuvien veromenetysten korvaus]]+Yhteenveto[[#This Row],[Kotikuntakorvaus, netto (ei päivitetty)]]</f>
        <v>3274086.5829076781</v>
      </c>
      <c r="S240" s="11"/>
      <c r="T240"/>
    </row>
    <row r="241" spans="1:20" ht="15">
      <c r="A241" s="32">
        <v>753</v>
      </c>
      <c r="B241" s="13" t="s">
        <v>246</v>
      </c>
      <c r="C241" s="15">
        <v>22595</v>
      </c>
      <c r="D241" s="15">
        <v>39070547.619999997</v>
      </c>
      <c r="E241" s="15">
        <v>7701291.7083011968</v>
      </c>
      <c r="F241" s="231">
        <f>Yhteenveto[[#This Row],[Ikärakenne, laskennallinen kustannus]]+Yhteenveto[[#This Row],[Muut laskennalliset kustannukset ]]</f>
        <v>46771839.328301191</v>
      </c>
      <c r="G241" s="508">
        <v>1422.47</v>
      </c>
      <c r="H241" s="17">
        <v>32140709.650000002</v>
      </c>
      <c r="I241" s="339">
        <f>Yhteenveto[[#This Row],[Laskennalliset kustannukset yhteensä]]-Yhteenveto[[#This Row],[Omarahoitusosuus, €]]</f>
        <v>14631129.678301189</v>
      </c>
      <c r="J241" s="33">
        <v>911577.34651085199</v>
      </c>
      <c r="K241" s="34">
        <v>7549323.688963254</v>
      </c>
      <c r="L241" s="231">
        <f>Yhteenveto[[#This Row],[Valtionosuus omarahoitusosuuden jälkeen (välisumma)]]+Yhteenveto[[#This Row],[Lisäosat yhteensä]]+Yhteenveto[[#This Row],[Valtionosuuteen tehtävät vähennykset ja lisäykset, netto]]</f>
        <v>23092030.713775296</v>
      </c>
      <c r="M241" s="34">
        <v>-816412.21579927229</v>
      </c>
      <c r="N241" s="303">
        <f>SUM(Yhteenveto[[#This Row],[Valtionosuus ennen verotuloihin perustuvaa valtionosuuden tasausta]]+Yhteenveto[[#This Row],[Verotuloihin perustuva valtionosuuden tasaus]])</f>
        <v>22275618.497976024</v>
      </c>
      <c r="O241" s="241">
        <v>1445385.4097406764</v>
      </c>
      <c r="P241" s="372">
        <f>SUM(Yhteenveto[[#This Row],[Kunnan  peruspalvelujen valtionosuus ]:[Veroperustemuutoksista johtuvien veromenetysten korvaus]])</f>
        <v>23721003.907716699</v>
      </c>
      <c r="Q241" s="34">
        <v>-129235.98179999995</v>
      </c>
      <c r="R241" s="341">
        <f>+Yhteenveto[[#This Row],[Kunnan  peruspalvelujen valtionosuus ]]+Yhteenveto[[#This Row],[Veroperustemuutoksista johtuvien veromenetysten korvaus]]+Yhteenveto[[#This Row],[Kotikuntakorvaus, netto (ei päivitetty)]]</f>
        <v>23591767.925916698</v>
      </c>
      <c r="S241" s="11"/>
      <c r="T241"/>
    </row>
    <row r="242" spans="1:20" ht="15">
      <c r="A242" s="32">
        <v>755</v>
      </c>
      <c r="B242" s="13" t="s">
        <v>247</v>
      </c>
      <c r="C242" s="15">
        <v>6158</v>
      </c>
      <c r="D242" s="15">
        <v>10150582.029999999</v>
      </c>
      <c r="E242" s="15">
        <v>2255902.4288518084</v>
      </c>
      <c r="F242" s="231">
        <f>Yhteenveto[[#This Row],[Ikärakenne, laskennallinen kustannus]]+Yhteenveto[[#This Row],[Muut laskennalliset kustannukset ]]</f>
        <v>12406484.458851807</v>
      </c>
      <c r="G242" s="508">
        <v>1422.47</v>
      </c>
      <c r="H242" s="17">
        <v>8759570.2599999998</v>
      </c>
      <c r="I242" s="339">
        <f>Yhteenveto[[#This Row],[Laskennalliset kustannukset yhteensä]]-Yhteenveto[[#This Row],[Omarahoitusosuus, €]]</f>
        <v>3646914.198851807</v>
      </c>
      <c r="J242" s="33">
        <v>171117.53057568939</v>
      </c>
      <c r="K242" s="34">
        <v>1270669.8170596613</v>
      </c>
      <c r="L242" s="231">
        <f>Yhteenveto[[#This Row],[Valtionosuus omarahoitusosuuden jälkeen (välisumma)]]+Yhteenveto[[#This Row],[Lisäosat yhteensä]]+Yhteenveto[[#This Row],[Valtionosuuteen tehtävät vähennykset ja lisäykset, netto]]</f>
        <v>5088701.5464871582</v>
      </c>
      <c r="M242" s="34">
        <v>125283.28697199507</v>
      </c>
      <c r="N242" s="303">
        <f>SUM(Yhteenveto[[#This Row],[Valtionosuus ennen verotuloihin perustuvaa valtionosuuden tasausta]]+Yhteenveto[[#This Row],[Verotuloihin perustuva valtionosuuden tasaus]])</f>
        <v>5213984.8334591528</v>
      </c>
      <c r="O242" s="241">
        <v>474127.84887633007</v>
      </c>
      <c r="P242" s="372">
        <f>SUM(Yhteenveto[[#This Row],[Kunnan  peruspalvelujen valtionosuus ]:[Veroperustemuutoksista johtuvien veromenetysten korvaus]])</f>
        <v>5688112.6823354829</v>
      </c>
      <c r="Q242" s="34">
        <v>-978847.54050000012</v>
      </c>
      <c r="R242" s="341">
        <f>+Yhteenveto[[#This Row],[Kunnan  peruspalvelujen valtionosuus ]]+Yhteenveto[[#This Row],[Veroperustemuutoksista johtuvien veromenetysten korvaus]]+Yhteenveto[[#This Row],[Kotikuntakorvaus, netto (ei päivitetty)]]</f>
        <v>4709265.1418354828</v>
      </c>
      <c r="S242" s="11"/>
      <c r="T242"/>
    </row>
    <row r="243" spans="1:20" ht="15">
      <c r="A243" s="32">
        <v>758</v>
      </c>
      <c r="B243" s="13" t="s">
        <v>248</v>
      </c>
      <c r="C243" s="15">
        <v>8126</v>
      </c>
      <c r="D243" s="15">
        <v>10750466.630000001</v>
      </c>
      <c r="E243" s="15">
        <v>7931156.7345091645</v>
      </c>
      <c r="F243" s="231">
        <f>Yhteenveto[[#This Row],[Ikärakenne, laskennallinen kustannus]]+Yhteenveto[[#This Row],[Muut laskennalliset kustannukset ]]</f>
        <v>18681623.364509165</v>
      </c>
      <c r="G243" s="508">
        <v>1422.47</v>
      </c>
      <c r="H243" s="17">
        <v>11558991.220000001</v>
      </c>
      <c r="I243" s="339">
        <f>Yhteenveto[[#This Row],[Laskennalliset kustannukset yhteensä]]-Yhteenveto[[#This Row],[Omarahoitusosuus, €]]</f>
        <v>7122632.1445091646</v>
      </c>
      <c r="J243" s="33">
        <v>1534225.281656822</v>
      </c>
      <c r="K243" s="34">
        <v>-3405804.0931575261</v>
      </c>
      <c r="L243" s="231">
        <f>Yhteenveto[[#This Row],[Valtionosuus omarahoitusosuuden jälkeen (välisumma)]]+Yhteenveto[[#This Row],[Lisäosat yhteensä]]+Yhteenveto[[#This Row],[Valtionosuuteen tehtävät vähennykset ja lisäykset, netto]]</f>
        <v>5251053.3330084607</v>
      </c>
      <c r="M243" s="34">
        <v>-189948.8658992805</v>
      </c>
      <c r="N243" s="303">
        <f>SUM(Yhteenveto[[#This Row],[Valtionosuus ennen verotuloihin perustuvaa valtionosuuden tasausta]]+Yhteenveto[[#This Row],[Verotuloihin perustuva valtionosuuden tasaus]])</f>
        <v>5061104.4671091801</v>
      </c>
      <c r="O243" s="241">
        <v>1002961.134088001</v>
      </c>
      <c r="P243" s="372">
        <f>SUM(Yhteenveto[[#This Row],[Kunnan  peruspalvelujen valtionosuus ]:[Veroperustemuutoksista johtuvien veromenetysten korvaus]])</f>
        <v>6064065.6011971813</v>
      </c>
      <c r="Q243" s="34">
        <v>-108979.64250000002</v>
      </c>
      <c r="R243" s="341">
        <f>+Yhteenveto[[#This Row],[Kunnan  peruspalvelujen valtionosuus ]]+Yhteenveto[[#This Row],[Veroperustemuutoksista johtuvien veromenetysten korvaus]]+Yhteenveto[[#This Row],[Kotikuntakorvaus, netto (ei päivitetty)]]</f>
        <v>5955085.9586971812</v>
      </c>
      <c r="S243" s="11"/>
      <c r="T243"/>
    </row>
    <row r="244" spans="1:20" ht="15">
      <c r="A244" s="32">
        <v>759</v>
      </c>
      <c r="B244" s="13" t="s">
        <v>249</v>
      </c>
      <c r="C244" s="15">
        <v>1873</v>
      </c>
      <c r="D244" s="15">
        <v>2748523.4299999997</v>
      </c>
      <c r="E244" s="15">
        <v>677475.77547443635</v>
      </c>
      <c r="F244" s="231">
        <f>Yhteenveto[[#This Row],[Ikärakenne, laskennallinen kustannus]]+Yhteenveto[[#This Row],[Muut laskennalliset kustannukset ]]</f>
        <v>3425999.2054744363</v>
      </c>
      <c r="G244" s="508">
        <v>1422.47</v>
      </c>
      <c r="H244" s="17">
        <v>2664286.31</v>
      </c>
      <c r="I244" s="339">
        <f>Yhteenveto[[#This Row],[Laskennalliset kustannukset yhteensä]]-Yhteenveto[[#This Row],[Omarahoitusosuus, €]]</f>
        <v>761712.89547443623</v>
      </c>
      <c r="J244" s="33">
        <v>270704.65445745992</v>
      </c>
      <c r="K244" s="34">
        <v>-88216.164243002815</v>
      </c>
      <c r="L244" s="231">
        <f>Yhteenveto[[#This Row],[Valtionosuus omarahoitusosuuden jälkeen (välisumma)]]+Yhteenveto[[#This Row],[Lisäosat yhteensä]]+Yhteenveto[[#This Row],[Valtionosuuteen tehtävät vähennykset ja lisäykset, netto]]</f>
        <v>944201.38568889338</v>
      </c>
      <c r="M244" s="34">
        <v>787771.67625197524</v>
      </c>
      <c r="N244" s="303">
        <f>SUM(Yhteenveto[[#This Row],[Valtionosuus ennen verotuloihin perustuvaa valtionosuuden tasausta]]+Yhteenveto[[#This Row],[Verotuloihin perustuva valtionosuuden tasaus]])</f>
        <v>1731973.0619408686</v>
      </c>
      <c r="O244" s="241">
        <v>369413.09635383205</v>
      </c>
      <c r="P244" s="372">
        <f>SUM(Yhteenveto[[#This Row],[Kunnan  peruspalvelujen valtionosuus ]:[Veroperustemuutoksista johtuvien veromenetysten korvaus]])</f>
        <v>2101386.1582947006</v>
      </c>
      <c r="Q244" s="34">
        <v>496786.05000000005</v>
      </c>
      <c r="R244" s="341">
        <f>+Yhteenveto[[#This Row],[Kunnan  peruspalvelujen valtionosuus ]]+Yhteenveto[[#This Row],[Veroperustemuutoksista johtuvien veromenetysten korvaus]]+Yhteenveto[[#This Row],[Kotikuntakorvaus, netto (ei päivitetty)]]</f>
        <v>2598172.2082947008</v>
      </c>
      <c r="S244" s="11"/>
      <c r="T244"/>
    </row>
    <row r="245" spans="1:20" ht="15">
      <c r="A245" s="32">
        <v>761</v>
      </c>
      <c r="B245" s="13" t="s">
        <v>250</v>
      </c>
      <c r="C245" s="15">
        <v>8410</v>
      </c>
      <c r="D245" s="15">
        <v>10846100.619999999</v>
      </c>
      <c r="E245" s="15">
        <v>2469464.2856059582</v>
      </c>
      <c r="F245" s="231">
        <f>Yhteenveto[[#This Row],[Ikärakenne, laskennallinen kustannus]]+Yhteenveto[[#This Row],[Muut laskennalliset kustannukset ]]</f>
        <v>13315564.905605957</v>
      </c>
      <c r="G245" s="508">
        <v>1422.47</v>
      </c>
      <c r="H245" s="17">
        <v>11962972.700000001</v>
      </c>
      <c r="I245" s="339">
        <f>Yhteenveto[[#This Row],[Laskennalliset kustannukset yhteensä]]-Yhteenveto[[#This Row],[Omarahoitusosuus, €]]</f>
        <v>1352592.2056059558</v>
      </c>
      <c r="J245" s="33">
        <v>241041.15243181109</v>
      </c>
      <c r="K245" s="34">
        <v>1099203.8187805933</v>
      </c>
      <c r="L245" s="231">
        <f>Yhteenveto[[#This Row],[Valtionosuus omarahoitusosuuden jälkeen (välisumma)]]+Yhteenveto[[#This Row],[Lisäosat yhteensä]]+Yhteenveto[[#This Row],[Valtionosuuteen tehtävät vähennykset ja lisäykset, netto]]</f>
        <v>2692837.1768183606</v>
      </c>
      <c r="M245" s="34">
        <v>4245925.403733178</v>
      </c>
      <c r="N245" s="303">
        <f>SUM(Yhteenveto[[#This Row],[Valtionosuus ennen verotuloihin perustuvaa valtionosuuden tasausta]]+Yhteenveto[[#This Row],[Verotuloihin perustuva valtionosuuden tasaus]])</f>
        <v>6938762.5805515386</v>
      </c>
      <c r="O245" s="241">
        <v>1344624.1002093798</v>
      </c>
      <c r="P245" s="372">
        <f>SUM(Yhteenveto[[#This Row],[Kunnan  peruspalvelujen valtionosuus ]:[Veroperustemuutoksista johtuvien veromenetysten korvaus]])</f>
        <v>8283386.6807609182</v>
      </c>
      <c r="Q245" s="34">
        <v>476989.20049999998</v>
      </c>
      <c r="R245" s="341">
        <f>+Yhteenveto[[#This Row],[Kunnan  peruspalvelujen valtionosuus ]]+Yhteenveto[[#This Row],[Veroperustemuutoksista johtuvien veromenetysten korvaus]]+Yhteenveto[[#This Row],[Kotikuntakorvaus, netto (ei päivitetty)]]</f>
        <v>8760375.8812609185</v>
      </c>
      <c r="S245" s="11"/>
      <c r="T245"/>
    </row>
    <row r="246" spans="1:20" ht="15">
      <c r="A246" s="32">
        <v>762</v>
      </c>
      <c r="B246" s="13" t="s">
        <v>251</v>
      </c>
      <c r="C246" s="15">
        <v>3637</v>
      </c>
      <c r="D246" s="15">
        <v>4366913.7000000011</v>
      </c>
      <c r="E246" s="15">
        <v>1759873.0141629917</v>
      </c>
      <c r="F246" s="231">
        <f>Yhteenveto[[#This Row],[Ikärakenne, laskennallinen kustannus]]+Yhteenveto[[#This Row],[Muut laskennalliset kustannukset ]]</f>
        <v>6126786.7141629923</v>
      </c>
      <c r="G246" s="508">
        <v>1422.47</v>
      </c>
      <c r="H246" s="17">
        <v>5173523.3899999997</v>
      </c>
      <c r="I246" s="339">
        <f>Yhteenveto[[#This Row],[Laskennalliset kustannukset yhteensä]]-Yhteenveto[[#This Row],[Omarahoitusosuus, €]]</f>
        <v>953263.32416299265</v>
      </c>
      <c r="J246" s="33">
        <v>486707.35388386378</v>
      </c>
      <c r="K246" s="34">
        <v>1595761.4509486856</v>
      </c>
      <c r="L246" s="231">
        <f>Yhteenveto[[#This Row],[Valtionosuus omarahoitusosuuden jälkeen (välisumma)]]+Yhteenveto[[#This Row],[Lisäosat yhteensä]]+Yhteenveto[[#This Row],[Valtionosuuteen tehtävät vähennykset ja lisäykset, netto]]</f>
        <v>3035732.1289955424</v>
      </c>
      <c r="M246" s="34">
        <v>1551659.0700082344</v>
      </c>
      <c r="N246" s="303">
        <f>SUM(Yhteenveto[[#This Row],[Valtionosuus ennen verotuloihin perustuvaa valtionosuuden tasausta]]+Yhteenveto[[#This Row],[Verotuloihin perustuva valtionosuuden tasaus]])</f>
        <v>4587391.1990037765</v>
      </c>
      <c r="O246" s="241">
        <v>681387.75014688412</v>
      </c>
      <c r="P246" s="372">
        <f>SUM(Yhteenveto[[#This Row],[Kunnan  peruspalvelujen valtionosuus ]:[Veroperustemuutoksista johtuvien veromenetysten korvaus]])</f>
        <v>5268778.949150661</v>
      </c>
      <c r="Q246" s="34">
        <v>3699.7880000000005</v>
      </c>
      <c r="R246" s="341">
        <f>+Yhteenveto[[#This Row],[Kunnan  peruspalvelujen valtionosuus ]]+Yhteenveto[[#This Row],[Veroperustemuutoksista johtuvien veromenetysten korvaus]]+Yhteenveto[[#This Row],[Kotikuntakorvaus, netto (ei päivitetty)]]</f>
        <v>5272478.7371506607</v>
      </c>
      <c r="S246" s="11"/>
      <c r="T246"/>
    </row>
    <row r="247" spans="1:20" ht="15">
      <c r="A247" s="32">
        <v>765</v>
      </c>
      <c r="B247" s="13" t="s">
        <v>252</v>
      </c>
      <c r="C247" s="15">
        <v>10274</v>
      </c>
      <c r="D247" s="15">
        <v>15140095.040000001</v>
      </c>
      <c r="E247" s="15">
        <v>3915545.5027407189</v>
      </c>
      <c r="F247" s="231">
        <f>Yhteenveto[[#This Row],[Ikärakenne, laskennallinen kustannus]]+Yhteenveto[[#This Row],[Muut laskennalliset kustannukset ]]</f>
        <v>19055640.542740721</v>
      </c>
      <c r="G247" s="508">
        <v>1422.47</v>
      </c>
      <c r="H247" s="17">
        <v>14614456.780000001</v>
      </c>
      <c r="I247" s="339">
        <f>Yhteenveto[[#This Row],[Laskennalliset kustannukset yhteensä]]-Yhteenveto[[#This Row],[Omarahoitusosuus, €]]</f>
        <v>4441183.7627407201</v>
      </c>
      <c r="J247" s="33">
        <v>744297.31204436487</v>
      </c>
      <c r="K247" s="34">
        <v>-1395755.0363444667</v>
      </c>
      <c r="L247" s="231">
        <f>Yhteenveto[[#This Row],[Valtionosuus omarahoitusosuuden jälkeen (välisumma)]]+Yhteenveto[[#This Row],[Lisäosat yhteensä]]+Yhteenveto[[#This Row],[Valtionosuuteen tehtävät vähennykset ja lisäykset, netto]]</f>
        <v>3789726.0384406187</v>
      </c>
      <c r="M247" s="34">
        <v>1814479.0921082972</v>
      </c>
      <c r="N247" s="303">
        <f>SUM(Yhteenveto[[#This Row],[Valtionosuus ennen verotuloihin perustuvaa valtionosuuden tasausta]]+Yhteenveto[[#This Row],[Verotuloihin perustuva valtionosuuden tasaus]])</f>
        <v>5604205.1305489158</v>
      </c>
      <c r="O247" s="241">
        <v>1273114.7472498945</v>
      </c>
      <c r="P247" s="372">
        <f>SUM(Yhteenveto[[#This Row],[Kunnan  peruspalvelujen valtionosuus ]:[Veroperustemuutoksista johtuvien veromenetysten korvaus]])</f>
        <v>6877319.8777988106</v>
      </c>
      <c r="Q247" s="34">
        <v>-20214.567500000034</v>
      </c>
      <c r="R247" s="341">
        <f>+Yhteenveto[[#This Row],[Kunnan  peruspalvelujen valtionosuus ]]+Yhteenveto[[#This Row],[Veroperustemuutoksista johtuvien veromenetysten korvaus]]+Yhteenveto[[#This Row],[Kotikuntakorvaus, netto (ei päivitetty)]]</f>
        <v>6857105.3102988107</v>
      </c>
      <c r="S247" s="11"/>
      <c r="T247"/>
    </row>
    <row r="248" spans="1:20" ht="15">
      <c r="A248" s="32">
        <v>768</v>
      </c>
      <c r="B248" s="13" t="s">
        <v>253</v>
      </c>
      <c r="C248" s="15">
        <v>2368</v>
      </c>
      <c r="D248" s="15">
        <v>2202840.1199999996</v>
      </c>
      <c r="E248" s="15">
        <v>1867866.3152185692</v>
      </c>
      <c r="F248" s="231">
        <f>Yhteenveto[[#This Row],[Ikärakenne, laskennallinen kustannus]]+Yhteenveto[[#This Row],[Muut laskennalliset kustannukset ]]</f>
        <v>4070706.4352185689</v>
      </c>
      <c r="G248" s="508">
        <v>1422.47</v>
      </c>
      <c r="H248" s="17">
        <v>3368408.96</v>
      </c>
      <c r="I248" s="339">
        <f>Yhteenveto[[#This Row],[Laskennalliset kustannukset yhteensä]]-Yhteenveto[[#This Row],[Omarahoitusosuus, €]]</f>
        <v>702297.47521856893</v>
      </c>
      <c r="J248" s="33">
        <v>346744.93620328663</v>
      </c>
      <c r="K248" s="34">
        <v>775253.17494702595</v>
      </c>
      <c r="L248" s="231">
        <f>Yhteenveto[[#This Row],[Valtionosuus omarahoitusosuuden jälkeen (välisumma)]]+Yhteenveto[[#This Row],[Lisäosat yhteensä]]+Yhteenveto[[#This Row],[Valtionosuuteen tehtävät vähennykset ja lisäykset, netto]]</f>
        <v>1824295.5863688814</v>
      </c>
      <c r="M248" s="34">
        <v>995298.15505971131</v>
      </c>
      <c r="N248" s="303">
        <f>SUM(Yhteenveto[[#This Row],[Valtionosuus ennen verotuloihin perustuvaa valtionosuuden tasausta]]+Yhteenveto[[#This Row],[Verotuloihin perustuva valtionosuuden tasaus]])</f>
        <v>2819593.7414285927</v>
      </c>
      <c r="O248" s="241">
        <v>457899.60906416154</v>
      </c>
      <c r="P248" s="372">
        <f>SUM(Yhteenveto[[#This Row],[Kunnan  peruspalvelujen valtionosuus ]:[Veroperustemuutoksista johtuvien veromenetysten korvaus]])</f>
        <v>3277493.350492754</v>
      </c>
      <c r="Q248" s="34">
        <v>59674</v>
      </c>
      <c r="R248" s="341">
        <f>+Yhteenveto[[#This Row],[Kunnan  peruspalvelujen valtionosuus ]]+Yhteenveto[[#This Row],[Veroperustemuutoksista johtuvien veromenetysten korvaus]]+Yhteenveto[[#This Row],[Kotikuntakorvaus, netto (ei päivitetty)]]</f>
        <v>3337167.350492754</v>
      </c>
      <c r="S248" s="11"/>
      <c r="T248"/>
    </row>
    <row r="249" spans="1:20" ht="15">
      <c r="A249" s="32">
        <v>777</v>
      </c>
      <c r="B249" s="13" t="s">
        <v>254</v>
      </c>
      <c r="C249" s="15">
        <v>7172</v>
      </c>
      <c r="D249" s="15">
        <v>7088949.5599999996</v>
      </c>
      <c r="E249" s="15">
        <v>5551034.2059558332</v>
      </c>
      <c r="F249" s="231">
        <f>Yhteenveto[[#This Row],[Ikärakenne, laskennallinen kustannus]]+Yhteenveto[[#This Row],[Muut laskennalliset kustannukset ]]</f>
        <v>12639983.765955832</v>
      </c>
      <c r="G249" s="508">
        <v>1422.47</v>
      </c>
      <c r="H249" s="17">
        <v>10201954.84</v>
      </c>
      <c r="I249" s="339">
        <f>Yhteenveto[[#This Row],[Laskennalliset kustannukset yhteensä]]-Yhteenveto[[#This Row],[Omarahoitusosuus, €]]</f>
        <v>2438028.925955832</v>
      </c>
      <c r="J249" s="33">
        <v>1246659.2220661251</v>
      </c>
      <c r="K249" s="34">
        <v>576221.83244817634</v>
      </c>
      <c r="L249" s="231">
        <f>Yhteenveto[[#This Row],[Valtionosuus omarahoitusosuuden jälkeen (välisumma)]]+Yhteenveto[[#This Row],[Lisäosat yhteensä]]+Yhteenveto[[#This Row],[Valtionosuuteen tehtävät vähennykset ja lisäykset, netto]]</f>
        <v>4260909.980470133</v>
      </c>
      <c r="M249" s="34">
        <v>3713521.0832185578</v>
      </c>
      <c r="N249" s="303">
        <f>SUM(Yhteenveto[[#This Row],[Valtionosuus ennen verotuloihin perustuvaa valtionosuuden tasausta]]+Yhteenveto[[#This Row],[Verotuloihin perustuva valtionosuuden tasaus]])</f>
        <v>7974431.0636886908</v>
      </c>
      <c r="O249" s="241">
        <v>1125476.7746239454</v>
      </c>
      <c r="P249" s="372">
        <f>SUM(Yhteenveto[[#This Row],[Kunnan  peruspalvelujen valtionosuus ]:[Veroperustemuutoksista johtuvien veromenetysten korvaus]])</f>
        <v>9099907.8383126371</v>
      </c>
      <c r="Q249" s="34">
        <v>-5251.3119999999908</v>
      </c>
      <c r="R249" s="341">
        <f>+Yhteenveto[[#This Row],[Kunnan  peruspalvelujen valtionosuus ]]+Yhteenveto[[#This Row],[Veroperustemuutoksista johtuvien veromenetysten korvaus]]+Yhteenveto[[#This Row],[Kotikuntakorvaus, netto (ei päivitetty)]]</f>
        <v>9094656.5263126362</v>
      </c>
      <c r="S249" s="11"/>
      <c r="T249"/>
    </row>
    <row r="250" spans="1:20" ht="15">
      <c r="A250" s="32">
        <v>778</v>
      </c>
      <c r="B250" s="13" t="s">
        <v>255</v>
      </c>
      <c r="C250" s="15">
        <v>6708</v>
      </c>
      <c r="D250" s="15">
        <v>8882603.3300000001</v>
      </c>
      <c r="E250" s="15">
        <v>1877203.341815898</v>
      </c>
      <c r="F250" s="231">
        <f>Yhteenveto[[#This Row],[Ikärakenne, laskennallinen kustannus]]+Yhteenveto[[#This Row],[Muut laskennalliset kustannukset ]]</f>
        <v>10759806.671815898</v>
      </c>
      <c r="G250" s="508">
        <v>1422.47</v>
      </c>
      <c r="H250" s="17">
        <v>9541928.7599999998</v>
      </c>
      <c r="I250" s="339">
        <f>Yhteenveto[[#This Row],[Laskennalliset kustannukset yhteensä]]-Yhteenveto[[#This Row],[Omarahoitusosuus, €]]</f>
        <v>1217877.9118158985</v>
      </c>
      <c r="J250" s="33">
        <v>373051.12521239446</v>
      </c>
      <c r="K250" s="34">
        <v>306958.93264782126</v>
      </c>
      <c r="L250" s="231">
        <f>Yhteenveto[[#This Row],[Valtionosuus omarahoitusosuuden jälkeen (välisumma)]]+Yhteenveto[[#This Row],[Lisäosat yhteensä]]+Yhteenveto[[#This Row],[Valtionosuuteen tehtävät vähennykset ja lisäykset, netto]]</f>
        <v>1897887.9696761142</v>
      </c>
      <c r="M250" s="34">
        <v>2300596.3203015439</v>
      </c>
      <c r="N250" s="303">
        <f>SUM(Yhteenveto[[#This Row],[Valtionosuus ennen verotuloihin perustuvaa valtionosuuden tasausta]]+Yhteenveto[[#This Row],[Verotuloihin perustuva valtionosuuden tasaus]])</f>
        <v>4198484.2899776585</v>
      </c>
      <c r="O250" s="241">
        <v>920972.68511190405</v>
      </c>
      <c r="P250" s="372">
        <f>SUM(Yhteenveto[[#This Row],[Kunnan  peruspalvelujen valtionosuus ]:[Veroperustemuutoksista johtuvien veromenetysten korvaus]])</f>
        <v>5119456.9750895631</v>
      </c>
      <c r="Q250" s="34">
        <v>138403.40005</v>
      </c>
      <c r="R250" s="341">
        <f>+Yhteenveto[[#This Row],[Kunnan  peruspalvelujen valtionosuus ]]+Yhteenveto[[#This Row],[Veroperustemuutoksista johtuvien veromenetysten korvaus]]+Yhteenveto[[#This Row],[Kotikuntakorvaus, netto (ei päivitetty)]]</f>
        <v>5257860.3751395633</v>
      </c>
      <c r="S250" s="11"/>
      <c r="T250"/>
    </row>
    <row r="251" spans="1:20" ht="15">
      <c r="A251" s="32">
        <v>781</v>
      </c>
      <c r="B251" s="13" t="s">
        <v>256</v>
      </c>
      <c r="C251" s="15">
        <v>3496</v>
      </c>
      <c r="D251" s="15">
        <v>2970841.25</v>
      </c>
      <c r="E251" s="15">
        <v>1206645.0548567448</v>
      </c>
      <c r="F251" s="231">
        <f>Yhteenveto[[#This Row],[Ikärakenne, laskennallinen kustannus]]+Yhteenveto[[#This Row],[Muut laskennalliset kustannukset ]]</f>
        <v>4177486.3048567446</v>
      </c>
      <c r="G251" s="508">
        <v>1422.47</v>
      </c>
      <c r="H251" s="17">
        <v>4972955.12</v>
      </c>
      <c r="I251" s="339">
        <f>Yhteenveto[[#This Row],[Laskennalliset kustannukset yhteensä]]-Yhteenveto[[#This Row],[Omarahoitusosuus, €]]</f>
        <v>-795468.81514325552</v>
      </c>
      <c r="J251" s="33">
        <v>475047.9413161088</v>
      </c>
      <c r="K251" s="34">
        <v>3162908.5942560779</v>
      </c>
      <c r="L251" s="231">
        <f>Yhteenveto[[#This Row],[Valtionosuus omarahoitusosuuden jälkeen (välisumma)]]+Yhteenveto[[#This Row],[Lisäosat yhteensä]]+Yhteenveto[[#This Row],[Valtionosuuteen tehtävät vähennykset ja lisäykset, netto]]</f>
        <v>2842487.7204289311</v>
      </c>
      <c r="M251" s="34">
        <v>874356.22438050283</v>
      </c>
      <c r="N251" s="303">
        <f>SUM(Yhteenveto[[#This Row],[Valtionosuus ennen verotuloihin perustuvaa valtionosuuden tasausta]]+Yhteenveto[[#This Row],[Verotuloihin perustuva valtionosuuden tasaus]])</f>
        <v>3716843.944809434</v>
      </c>
      <c r="O251" s="241">
        <v>700606.699038108</v>
      </c>
      <c r="P251" s="372">
        <f>SUM(Yhteenveto[[#This Row],[Kunnan  peruspalvelujen valtionosuus ]:[Veroperustemuutoksista johtuvien veromenetysten korvaus]])</f>
        <v>4417450.6438475419</v>
      </c>
      <c r="Q251" s="34">
        <v>-33864.99500000001</v>
      </c>
      <c r="R251" s="341">
        <f>+Yhteenveto[[#This Row],[Kunnan  peruspalvelujen valtionosuus ]]+Yhteenveto[[#This Row],[Veroperustemuutoksista johtuvien veromenetysten korvaus]]+Yhteenveto[[#This Row],[Kotikuntakorvaus, netto (ei päivitetty)]]</f>
        <v>4383585.6488475418</v>
      </c>
      <c r="S251" s="11"/>
      <c r="T251"/>
    </row>
    <row r="252" spans="1:20" ht="15">
      <c r="A252" s="32">
        <v>783</v>
      </c>
      <c r="B252" s="13" t="s">
        <v>257</v>
      </c>
      <c r="C252" s="15">
        <v>6377</v>
      </c>
      <c r="D252" s="15">
        <v>8347275.6800000006</v>
      </c>
      <c r="E252" s="15">
        <v>1518296.6561016694</v>
      </c>
      <c r="F252" s="231">
        <f>Yhteenveto[[#This Row],[Ikärakenne, laskennallinen kustannus]]+Yhteenveto[[#This Row],[Muut laskennalliset kustannukset ]]</f>
        <v>9865572.3361016698</v>
      </c>
      <c r="G252" s="508">
        <v>1422.47</v>
      </c>
      <c r="H252" s="17">
        <v>9071091.1899999995</v>
      </c>
      <c r="I252" s="339">
        <f>Yhteenveto[[#This Row],[Laskennalliset kustannukset yhteensä]]-Yhteenveto[[#This Row],[Omarahoitusosuus, €]]</f>
        <v>794481.14610167034</v>
      </c>
      <c r="J252" s="33">
        <v>213436.92384356423</v>
      </c>
      <c r="K252" s="34">
        <v>-560466.89622198278</v>
      </c>
      <c r="L252" s="231">
        <f>Yhteenveto[[#This Row],[Valtionosuus omarahoitusosuuden jälkeen (välisumma)]]+Yhteenveto[[#This Row],[Lisäosat yhteensä]]+Yhteenveto[[#This Row],[Valtionosuuteen tehtävät vähennykset ja lisäykset, netto]]</f>
        <v>447451.17372325179</v>
      </c>
      <c r="M252" s="34">
        <v>1647046.5175936318</v>
      </c>
      <c r="N252" s="303">
        <f>SUM(Yhteenveto[[#This Row],[Valtionosuus ennen verotuloihin perustuvaa valtionosuuden tasausta]]+Yhteenveto[[#This Row],[Verotuloihin perustuva valtionosuuden tasaus]])</f>
        <v>2094497.6913168835</v>
      </c>
      <c r="O252" s="241">
        <v>791138.22858617455</v>
      </c>
      <c r="P252" s="372">
        <f>SUM(Yhteenveto[[#This Row],[Kunnan  peruspalvelujen valtionosuus ]:[Veroperustemuutoksista johtuvien veromenetysten korvaus]])</f>
        <v>2885635.9199030581</v>
      </c>
      <c r="Q252" s="34">
        <v>-98790.306999999972</v>
      </c>
      <c r="R252" s="341">
        <f>+Yhteenveto[[#This Row],[Kunnan  peruspalvelujen valtionosuus ]]+Yhteenveto[[#This Row],[Veroperustemuutoksista johtuvien veromenetysten korvaus]]+Yhteenveto[[#This Row],[Kotikuntakorvaus, netto (ei päivitetty)]]</f>
        <v>2786845.6129030581</v>
      </c>
      <c r="S252" s="11"/>
      <c r="T252"/>
    </row>
    <row r="253" spans="1:20" ht="15">
      <c r="A253" s="32">
        <v>785</v>
      </c>
      <c r="B253" s="13" t="s">
        <v>258</v>
      </c>
      <c r="C253" s="15">
        <v>2589</v>
      </c>
      <c r="D253" s="15">
        <v>2877037.41</v>
      </c>
      <c r="E253" s="15">
        <v>1623504.9464195443</v>
      </c>
      <c r="F253" s="231">
        <f>Yhteenveto[[#This Row],[Ikärakenne, laskennallinen kustannus]]+Yhteenveto[[#This Row],[Muut laskennalliset kustannukset ]]</f>
        <v>4500542.3564195447</v>
      </c>
      <c r="G253" s="508">
        <v>1422.47</v>
      </c>
      <c r="H253" s="17">
        <v>3682774.83</v>
      </c>
      <c r="I253" s="339">
        <f>Yhteenveto[[#This Row],[Laskennalliset kustannukset yhteensä]]-Yhteenveto[[#This Row],[Omarahoitusosuus, €]]</f>
        <v>817767.52641954459</v>
      </c>
      <c r="J253" s="33">
        <v>929344.07587041904</v>
      </c>
      <c r="K253" s="34">
        <v>2404640.8660528208</v>
      </c>
      <c r="L253" s="231">
        <f>Yhteenveto[[#This Row],[Valtionosuus omarahoitusosuuden jälkeen (välisumma)]]+Yhteenveto[[#This Row],[Lisäosat yhteensä]]+Yhteenveto[[#This Row],[Valtionosuuteen tehtävät vähennykset ja lisäykset, netto]]</f>
        <v>4151752.4683427843</v>
      </c>
      <c r="M253" s="34">
        <v>1438558.7874439631</v>
      </c>
      <c r="N253" s="303">
        <f>SUM(Yhteenveto[[#This Row],[Valtionosuus ennen verotuloihin perustuvaa valtionosuuden tasausta]]+Yhteenveto[[#This Row],[Verotuloihin perustuva valtionosuuden tasaus]])</f>
        <v>5590311.2557867477</v>
      </c>
      <c r="O253" s="241">
        <v>508510.59756841377</v>
      </c>
      <c r="P253" s="372">
        <f>SUM(Yhteenveto[[#This Row],[Kunnan  peruspalvelujen valtionosuus ]:[Veroperustemuutoksista johtuvien veromenetysten korvaus]])</f>
        <v>6098821.8533551618</v>
      </c>
      <c r="Q253" s="34">
        <v>48261.347500000011</v>
      </c>
      <c r="R253" s="341">
        <f>+Yhteenveto[[#This Row],[Kunnan  peruspalvelujen valtionosuus ]]+Yhteenveto[[#This Row],[Veroperustemuutoksista johtuvien veromenetysten korvaus]]+Yhteenveto[[#This Row],[Kotikuntakorvaus, netto (ei päivitetty)]]</f>
        <v>6147083.200855162</v>
      </c>
      <c r="S253" s="11"/>
      <c r="T253"/>
    </row>
    <row r="254" spans="1:20" ht="15">
      <c r="A254" s="32">
        <v>790</v>
      </c>
      <c r="B254" s="13" t="s">
        <v>259</v>
      </c>
      <c r="C254" s="15">
        <v>23515</v>
      </c>
      <c r="D254" s="15">
        <v>31717464.759999998</v>
      </c>
      <c r="E254" s="15">
        <v>5233929.4510318777</v>
      </c>
      <c r="F254" s="231">
        <f>Yhteenveto[[#This Row],[Ikärakenne, laskennallinen kustannus]]+Yhteenveto[[#This Row],[Muut laskennalliset kustannukset ]]</f>
        <v>36951394.211031877</v>
      </c>
      <c r="G254" s="508">
        <v>1422.47</v>
      </c>
      <c r="H254" s="17">
        <v>33449382.050000001</v>
      </c>
      <c r="I254" s="339">
        <f>Yhteenveto[[#This Row],[Laskennalliset kustannukset yhteensä]]-Yhteenveto[[#This Row],[Omarahoitusosuus, €]]</f>
        <v>3502012.1610318758</v>
      </c>
      <c r="J254" s="33">
        <v>754167.78953926358</v>
      </c>
      <c r="K254" s="34">
        <v>1158958.2224746472</v>
      </c>
      <c r="L254" s="231">
        <f>Yhteenveto[[#This Row],[Valtionosuus omarahoitusosuuden jälkeen (välisumma)]]+Yhteenveto[[#This Row],[Lisäosat yhteensä]]+Yhteenveto[[#This Row],[Valtionosuuteen tehtävät vähennykset ja lisäykset, netto]]</f>
        <v>5415138.1730457861</v>
      </c>
      <c r="M254" s="34">
        <v>9985060.5231369454</v>
      </c>
      <c r="N254" s="303">
        <f>SUM(Yhteenveto[[#This Row],[Valtionosuus ennen verotuloihin perustuvaa valtionosuuden tasausta]]+Yhteenveto[[#This Row],[Verotuloihin perustuva valtionosuuden tasaus]])</f>
        <v>15400198.696182732</v>
      </c>
      <c r="O254" s="241">
        <v>2868796.1714314325</v>
      </c>
      <c r="P254" s="372">
        <f>SUM(Yhteenveto[[#This Row],[Kunnan  peruspalvelujen valtionosuus ]:[Veroperustemuutoksista johtuvien veromenetysten korvaus]])</f>
        <v>18268994.867614165</v>
      </c>
      <c r="Q254" s="34">
        <v>160493.223</v>
      </c>
      <c r="R254" s="341">
        <f>+Yhteenveto[[#This Row],[Kunnan  peruspalvelujen valtionosuus ]]+Yhteenveto[[#This Row],[Veroperustemuutoksista johtuvien veromenetysten korvaus]]+Yhteenveto[[#This Row],[Kotikuntakorvaus, netto (ei päivitetty)]]</f>
        <v>18429488.090614166</v>
      </c>
      <c r="S254" s="11"/>
      <c r="T254"/>
    </row>
    <row r="255" spans="1:20" ht="15">
      <c r="A255" s="32">
        <v>791</v>
      </c>
      <c r="B255" s="13" t="s">
        <v>260</v>
      </c>
      <c r="C255" s="15">
        <v>4931</v>
      </c>
      <c r="D255" s="15">
        <v>7216173.6600000001</v>
      </c>
      <c r="E255" s="15">
        <v>2517527.2725308719</v>
      </c>
      <c r="F255" s="231">
        <f>Yhteenveto[[#This Row],[Ikärakenne, laskennallinen kustannus]]+Yhteenveto[[#This Row],[Muut laskennalliset kustannukset ]]</f>
        <v>9733700.9325308725</v>
      </c>
      <c r="G255" s="508">
        <v>1422.47</v>
      </c>
      <c r="H255" s="17">
        <v>7014199.5700000003</v>
      </c>
      <c r="I255" s="339">
        <f>Yhteenveto[[#This Row],[Laskennalliset kustannukset yhteensä]]-Yhteenveto[[#This Row],[Omarahoitusosuus, €]]</f>
        <v>2719501.3625308722</v>
      </c>
      <c r="J255" s="33">
        <v>832847.50431550737</v>
      </c>
      <c r="K255" s="34">
        <v>264321.29166219325</v>
      </c>
      <c r="L255" s="231">
        <f>Yhteenveto[[#This Row],[Valtionosuus omarahoitusosuuden jälkeen (välisumma)]]+Yhteenveto[[#This Row],[Lisäosat yhteensä]]+Yhteenveto[[#This Row],[Valtionosuuteen tehtävät vähennykset ja lisäykset, netto]]</f>
        <v>3816670.1585085732</v>
      </c>
      <c r="M255" s="34">
        <v>3052444.8122054259</v>
      </c>
      <c r="N255" s="303">
        <f>SUM(Yhteenveto[[#This Row],[Valtionosuus ennen verotuloihin perustuvaa valtionosuuden tasausta]]+Yhteenveto[[#This Row],[Verotuloihin perustuva valtionosuuden tasaus]])</f>
        <v>6869114.9707139991</v>
      </c>
      <c r="O255" s="241">
        <v>946890.18635046924</v>
      </c>
      <c r="P255" s="372">
        <f>SUM(Yhteenveto[[#This Row],[Kunnan  peruspalvelujen valtionosuus ]:[Veroperustemuutoksista johtuvien veromenetysten korvaus]])</f>
        <v>7816005.1570644686</v>
      </c>
      <c r="Q255" s="34">
        <v>-205353.15249999991</v>
      </c>
      <c r="R255" s="341">
        <f>+Yhteenveto[[#This Row],[Kunnan  peruspalvelujen valtionosuus ]]+Yhteenveto[[#This Row],[Veroperustemuutoksista johtuvien veromenetysten korvaus]]+Yhteenveto[[#This Row],[Kotikuntakorvaus, netto (ei päivitetty)]]</f>
        <v>7610652.0045644687</v>
      </c>
      <c r="S255" s="11"/>
      <c r="T255"/>
    </row>
    <row r="256" spans="1:20" ht="15">
      <c r="A256" s="32">
        <v>831</v>
      </c>
      <c r="B256" s="13" t="s">
        <v>261</v>
      </c>
      <c r="C256" s="15">
        <v>4625</v>
      </c>
      <c r="D256" s="15">
        <v>6806584.7000000011</v>
      </c>
      <c r="E256" s="15">
        <v>1977853.6869094877</v>
      </c>
      <c r="F256" s="231">
        <f>Yhteenveto[[#This Row],[Ikärakenne, laskennallinen kustannus]]+Yhteenveto[[#This Row],[Muut laskennalliset kustannukset ]]</f>
        <v>8784438.3869094886</v>
      </c>
      <c r="G256" s="508">
        <v>1422.47</v>
      </c>
      <c r="H256" s="17">
        <v>6578923.75</v>
      </c>
      <c r="I256" s="339">
        <f>Yhteenveto[[#This Row],[Laskennalliset kustannukset yhteensä]]-Yhteenveto[[#This Row],[Omarahoitusosuus, €]]</f>
        <v>2205514.6369094886</v>
      </c>
      <c r="J256" s="33">
        <v>107721.96601840621</v>
      </c>
      <c r="K256" s="34">
        <v>44120.212939030287</v>
      </c>
      <c r="L256" s="231">
        <f>Yhteenveto[[#This Row],[Valtionosuus omarahoitusosuuden jälkeen (välisumma)]]+Yhteenveto[[#This Row],[Lisäosat yhteensä]]+Yhteenveto[[#This Row],[Valtionosuuteen tehtävät vähennykset ja lisäykset, netto]]</f>
        <v>2357356.8158669253</v>
      </c>
      <c r="M256" s="34">
        <v>1058185.7429417635</v>
      </c>
      <c r="N256" s="303">
        <f>SUM(Yhteenveto[[#This Row],[Valtionosuus ennen verotuloihin perustuvaa valtionosuuden tasausta]]+Yhteenveto[[#This Row],[Verotuloihin perustuva valtionosuuden tasaus]])</f>
        <v>3415542.558808689</v>
      </c>
      <c r="O256" s="241">
        <v>405523.6679822969</v>
      </c>
      <c r="P256" s="372">
        <f>SUM(Yhteenveto[[#This Row],[Kunnan  peruspalvelujen valtionosuus ]:[Veroperustemuutoksista johtuvien veromenetysten korvaus]])</f>
        <v>3821066.226790986</v>
      </c>
      <c r="Q256" s="34">
        <v>-78560.821000000025</v>
      </c>
      <c r="R256" s="341">
        <f>+Yhteenveto[[#This Row],[Kunnan  peruspalvelujen valtionosuus ]]+Yhteenveto[[#This Row],[Veroperustemuutoksista johtuvien veromenetysten korvaus]]+Yhteenveto[[#This Row],[Kotikuntakorvaus, netto (ei päivitetty)]]</f>
        <v>3742505.405790986</v>
      </c>
      <c r="S256" s="11"/>
      <c r="T256"/>
    </row>
    <row r="257" spans="1:20" ht="15">
      <c r="A257" s="32">
        <v>832</v>
      </c>
      <c r="B257" s="13" t="s">
        <v>262</v>
      </c>
      <c r="C257" s="15">
        <v>3731</v>
      </c>
      <c r="D257" s="15">
        <v>5521969.8200000003</v>
      </c>
      <c r="E257" s="15">
        <v>2667090.2294667745</v>
      </c>
      <c r="F257" s="231">
        <f>Yhteenveto[[#This Row],[Ikärakenne, laskennallinen kustannus]]+Yhteenveto[[#This Row],[Muut laskennalliset kustannukset ]]</f>
        <v>8189060.0494667748</v>
      </c>
      <c r="G257" s="508">
        <v>1422.47</v>
      </c>
      <c r="H257" s="17">
        <v>5307235.57</v>
      </c>
      <c r="I257" s="339">
        <f>Yhteenveto[[#This Row],[Laskennalliset kustannukset yhteensä]]-Yhteenveto[[#This Row],[Omarahoitusosuus, €]]</f>
        <v>2881824.4794667745</v>
      </c>
      <c r="J257" s="33">
        <v>1353133.4007928565</v>
      </c>
      <c r="K257" s="34">
        <v>2518741.3239060808</v>
      </c>
      <c r="L257" s="231">
        <f>Yhteenveto[[#This Row],[Valtionosuus omarahoitusosuuden jälkeen (välisumma)]]+Yhteenveto[[#This Row],[Lisäosat yhteensä]]+Yhteenveto[[#This Row],[Valtionosuuteen tehtävät vähennykset ja lisäykset, netto]]</f>
        <v>6753699.204165712</v>
      </c>
      <c r="M257" s="34">
        <v>1985693.3883167289</v>
      </c>
      <c r="N257" s="303">
        <f>SUM(Yhteenveto[[#This Row],[Valtionosuus ennen verotuloihin perustuvaa valtionosuuden tasausta]]+Yhteenveto[[#This Row],[Verotuloihin perustuva valtionosuuden tasaus]])</f>
        <v>8739392.5924824402</v>
      </c>
      <c r="O257" s="241">
        <v>563642.85299140541</v>
      </c>
      <c r="P257" s="372">
        <f>SUM(Yhteenveto[[#This Row],[Kunnan  peruspalvelujen valtionosuus ]:[Veroperustemuutoksista johtuvien veromenetysten korvaus]])</f>
        <v>9303035.445473846</v>
      </c>
      <c r="Q257" s="34">
        <v>-17902.200000000012</v>
      </c>
      <c r="R257" s="341">
        <f>+Yhteenveto[[#This Row],[Kunnan  peruspalvelujen valtionosuus ]]+Yhteenveto[[#This Row],[Veroperustemuutoksista johtuvien veromenetysten korvaus]]+Yhteenveto[[#This Row],[Kotikuntakorvaus, netto (ei päivitetty)]]</f>
        <v>9285133.2454738468</v>
      </c>
      <c r="S257" s="11"/>
      <c r="T257"/>
    </row>
    <row r="258" spans="1:20" ht="15">
      <c r="A258" s="32">
        <v>833</v>
      </c>
      <c r="B258" s="13" t="s">
        <v>263</v>
      </c>
      <c r="C258" s="15">
        <v>1705</v>
      </c>
      <c r="D258" s="15">
        <v>2240418.4899999998</v>
      </c>
      <c r="E258" s="15">
        <v>602385.10738822515</v>
      </c>
      <c r="F258" s="231">
        <f>Yhteenveto[[#This Row],[Ikärakenne, laskennallinen kustannus]]+Yhteenveto[[#This Row],[Muut laskennalliset kustannukset ]]</f>
        <v>2842803.5973882247</v>
      </c>
      <c r="G258" s="508">
        <v>1422.47</v>
      </c>
      <c r="H258" s="17">
        <v>2425311.35</v>
      </c>
      <c r="I258" s="339">
        <f>Yhteenveto[[#This Row],[Laskennalliset kustannukset yhteensä]]-Yhteenveto[[#This Row],[Omarahoitusosuus, €]]</f>
        <v>417492.24738822458</v>
      </c>
      <c r="J258" s="33">
        <v>108052.88736710574</v>
      </c>
      <c r="K258" s="34">
        <v>872690.84014779935</v>
      </c>
      <c r="L258" s="231">
        <f>Yhteenveto[[#This Row],[Valtionosuus omarahoitusosuuden jälkeen (välisumma)]]+Yhteenveto[[#This Row],[Lisäosat yhteensä]]+Yhteenveto[[#This Row],[Valtionosuuteen tehtävät vähennykset ja lisäykset, netto]]</f>
        <v>1398235.9749031295</v>
      </c>
      <c r="M258" s="34">
        <v>633367.60717797861</v>
      </c>
      <c r="N258" s="303">
        <f>SUM(Yhteenveto[[#This Row],[Valtionosuus ennen verotuloihin perustuvaa valtionosuuden tasausta]]+Yhteenveto[[#This Row],[Verotuloihin perustuva valtionosuuden tasaus]])</f>
        <v>2031603.5820811081</v>
      </c>
      <c r="O258" s="241">
        <v>260050.89212186571</v>
      </c>
      <c r="P258" s="372">
        <f>SUM(Yhteenveto[[#This Row],[Kunnan  peruspalvelujen valtionosuus ]:[Veroperustemuutoksista johtuvien veromenetysten korvaus]])</f>
        <v>2291654.4742029738</v>
      </c>
      <c r="Q258" s="34">
        <v>229744.90000000002</v>
      </c>
      <c r="R258" s="341">
        <f>+Yhteenveto[[#This Row],[Kunnan  peruspalvelujen valtionosuus ]]+Yhteenveto[[#This Row],[Veroperustemuutoksista johtuvien veromenetysten korvaus]]+Yhteenveto[[#This Row],[Kotikuntakorvaus, netto (ei päivitetty)]]</f>
        <v>2521399.3742029737</v>
      </c>
      <c r="S258" s="11"/>
      <c r="T258"/>
    </row>
    <row r="259" spans="1:20" ht="15">
      <c r="A259" s="32">
        <v>834</v>
      </c>
      <c r="B259" s="13" t="s">
        <v>264</v>
      </c>
      <c r="C259" s="15">
        <v>5844</v>
      </c>
      <c r="D259" s="15">
        <v>8165464.4100000011</v>
      </c>
      <c r="E259" s="15">
        <v>1418703.1836923009</v>
      </c>
      <c r="F259" s="231">
        <f>Yhteenveto[[#This Row],[Ikärakenne, laskennallinen kustannus]]+Yhteenveto[[#This Row],[Muut laskennalliset kustannukset ]]</f>
        <v>9584167.5936923027</v>
      </c>
      <c r="G259" s="508">
        <v>1422.47</v>
      </c>
      <c r="H259" s="17">
        <v>8312914.6799999997</v>
      </c>
      <c r="I259" s="339">
        <f>Yhteenveto[[#This Row],[Laskennalliset kustannukset yhteensä]]-Yhteenveto[[#This Row],[Omarahoitusosuus, €]]</f>
        <v>1271252.913692303</v>
      </c>
      <c r="J259" s="33">
        <v>152508.5607352659</v>
      </c>
      <c r="K259" s="34">
        <v>2044053.5552850447</v>
      </c>
      <c r="L259" s="231">
        <f>Yhteenveto[[#This Row],[Valtionosuus omarahoitusosuuden jälkeen (välisumma)]]+Yhteenveto[[#This Row],[Lisäosat yhteensä]]+Yhteenveto[[#This Row],[Valtionosuuteen tehtävät vähennykset ja lisäykset, netto]]</f>
        <v>3467815.0297126137</v>
      </c>
      <c r="M259" s="34">
        <v>1853667.835141436</v>
      </c>
      <c r="N259" s="303">
        <f>SUM(Yhteenveto[[#This Row],[Valtionosuus ennen verotuloihin perustuvaa valtionosuuden tasausta]]+Yhteenveto[[#This Row],[Verotuloihin perustuva valtionosuuden tasaus]])</f>
        <v>5321482.8648540499</v>
      </c>
      <c r="O259" s="241">
        <v>696564.82803784637</v>
      </c>
      <c r="P259" s="372">
        <f>SUM(Yhteenveto[[#This Row],[Kunnan  peruspalvelujen valtionosuus ]:[Veroperustemuutoksista johtuvien veromenetysten korvaus]])</f>
        <v>6018047.6928918958</v>
      </c>
      <c r="Q259" s="34">
        <v>-414092.80450000003</v>
      </c>
      <c r="R259" s="341">
        <f>+Yhteenveto[[#This Row],[Kunnan  peruspalvelujen valtionosuus ]]+Yhteenveto[[#This Row],[Veroperustemuutoksista johtuvien veromenetysten korvaus]]+Yhteenveto[[#This Row],[Kotikuntakorvaus, netto (ei päivitetty)]]</f>
        <v>5603954.8883918962</v>
      </c>
      <c r="S259" s="11"/>
      <c r="T259"/>
    </row>
    <row r="260" spans="1:20" ht="15">
      <c r="A260" s="32">
        <v>837</v>
      </c>
      <c r="B260" s="13" t="s">
        <v>265</v>
      </c>
      <c r="C260" s="15">
        <v>255050</v>
      </c>
      <c r="D260" s="15">
        <v>324773721.92000002</v>
      </c>
      <c r="E260" s="15">
        <v>90648227.83055459</v>
      </c>
      <c r="F260" s="231">
        <f>Yhteenveto[[#This Row],[Ikärakenne, laskennallinen kustannus]]+Yhteenveto[[#This Row],[Muut laskennalliset kustannukset ]]</f>
        <v>415421949.75055462</v>
      </c>
      <c r="G260" s="508">
        <v>1422.47</v>
      </c>
      <c r="H260" s="17">
        <v>362800973.5</v>
      </c>
      <c r="I260" s="339">
        <f>Yhteenveto[[#This Row],[Laskennalliset kustannukset yhteensä]]-Yhteenveto[[#This Row],[Omarahoitusosuus, €]]</f>
        <v>52620976.250554621</v>
      </c>
      <c r="J260" s="33">
        <v>14922172.222273838</v>
      </c>
      <c r="K260" s="34">
        <v>-60337017.932399198</v>
      </c>
      <c r="L260" s="231">
        <f>Yhteenveto[[#This Row],[Valtionosuus omarahoitusosuuden jälkeen (välisumma)]]+Yhteenveto[[#This Row],[Lisäosat yhteensä]]+Yhteenveto[[#This Row],[Valtionosuuteen tehtävät vähennykset ja lisäykset, netto]]</f>
        <v>7206130.5404292643</v>
      </c>
      <c r="M260" s="34">
        <v>-216958.61888494974</v>
      </c>
      <c r="N260" s="303">
        <f>SUM(Yhteenveto[[#This Row],[Valtionosuus ennen verotuloihin perustuvaa valtionosuuden tasausta]]+Yhteenveto[[#This Row],[Verotuloihin perustuva valtionosuuden tasaus]])</f>
        <v>6989171.9215443144</v>
      </c>
      <c r="O260" s="241">
        <v>22714436.225739539</v>
      </c>
      <c r="P260" s="372">
        <f>SUM(Yhteenveto[[#This Row],[Kunnan  peruspalvelujen valtionosuus ]:[Veroperustemuutoksista johtuvien veromenetysten korvaus]])</f>
        <v>29703608.147283852</v>
      </c>
      <c r="Q260" s="34">
        <v>-11967413.33285002</v>
      </c>
      <c r="R260" s="341">
        <f>+Yhteenveto[[#This Row],[Kunnan  peruspalvelujen valtionosuus ]]+Yhteenveto[[#This Row],[Veroperustemuutoksista johtuvien veromenetysten korvaus]]+Yhteenveto[[#This Row],[Kotikuntakorvaus, netto (ei päivitetty)]]</f>
        <v>17736194.814433832</v>
      </c>
      <c r="S260" s="11"/>
      <c r="T260"/>
    </row>
    <row r="261" spans="1:20" ht="15">
      <c r="A261" s="32">
        <v>844</v>
      </c>
      <c r="B261" s="13" t="s">
        <v>266</v>
      </c>
      <c r="C261" s="15">
        <v>1412</v>
      </c>
      <c r="D261" s="15">
        <v>1238583.9000000001</v>
      </c>
      <c r="E261" s="15">
        <v>576721.95161806117</v>
      </c>
      <c r="F261" s="231">
        <f>Yhteenveto[[#This Row],[Ikärakenne, laskennallinen kustannus]]+Yhteenveto[[#This Row],[Muut laskennalliset kustannukset ]]</f>
        <v>1815305.8516180613</v>
      </c>
      <c r="G261" s="508">
        <v>1422.47</v>
      </c>
      <c r="H261" s="17">
        <v>2008527.6400000001</v>
      </c>
      <c r="I261" s="339">
        <f>Yhteenveto[[#This Row],[Laskennalliset kustannukset yhteensä]]-Yhteenveto[[#This Row],[Omarahoitusosuus, €]]</f>
        <v>-193221.78838193882</v>
      </c>
      <c r="J261" s="33">
        <v>237431.48236608124</v>
      </c>
      <c r="K261" s="34">
        <v>88615.455812407497</v>
      </c>
      <c r="L261" s="231">
        <f>Yhteenveto[[#This Row],[Valtionosuus omarahoitusosuuden jälkeen (välisumma)]]+Yhteenveto[[#This Row],[Lisäosat yhteensä]]+Yhteenveto[[#This Row],[Valtionosuuteen tehtävät vähennykset ja lisäykset, netto]]</f>
        <v>132825.14979654993</v>
      </c>
      <c r="M261" s="34">
        <v>855591.20624734322</v>
      </c>
      <c r="N261" s="303">
        <f>SUM(Yhteenveto[[#This Row],[Valtionosuus ennen verotuloihin perustuvaa valtionosuuden tasausta]]+Yhteenveto[[#This Row],[Verotuloihin perustuva valtionosuuden tasaus]])</f>
        <v>988416.35604389315</v>
      </c>
      <c r="O261" s="241">
        <v>267378.59735661588</v>
      </c>
      <c r="P261" s="372">
        <f>SUM(Yhteenveto[[#This Row],[Kunnan  peruspalvelujen valtionosuus ]:[Veroperustemuutoksista johtuvien veromenetysten korvaus]])</f>
        <v>1255794.953400509</v>
      </c>
      <c r="Q261" s="34">
        <v>-34312.550000000003</v>
      </c>
      <c r="R261" s="341">
        <f>+Yhteenveto[[#This Row],[Kunnan  peruspalvelujen valtionosuus ]]+Yhteenveto[[#This Row],[Veroperustemuutoksista johtuvien veromenetysten korvaus]]+Yhteenveto[[#This Row],[Kotikuntakorvaus, netto (ei päivitetty)]]</f>
        <v>1221482.4034005089</v>
      </c>
      <c r="S261" s="11"/>
      <c r="T261"/>
    </row>
    <row r="262" spans="1:20" ht="15">
      <c r="A262" s="32">
        <v>845</v>
      </c>
      <c r="B262" s="13" t="s">
        <v>267</v>
      </c>
      <c r="C262" s="15">
        <v>2831</v>
      </c>
      <c r="D262" s="15">
        <v>4312529.3600000003</v>
      </c>
      <c r="E262" s="15">
        <v>1741358.3331149479</v>
      </c>
      <c r="F262" s="231">
        <f>Yhteenveto[[#This Row],[Ikärakenne, laskennallinen kustannus]]+Yhteenveto[[#This Row],[Muut laskennalliset kustannukset ]]</f>
        <v>6053887.6931149485</v>
      </c>
      <c r="G262" s="508">
        <v>1422.47</v>
      </c>
      <c r="H262" s="17">
        <v>4027012.5700000003</v>
      </c>
      <c r="I262" s="339">
        <f>Yhteenveto[[#This Row],[Laskennalliset kustannukset yhteensä]]-Yhteenveto[[#This Row],[Omarahoitusosuus, €]]</f>
        <v>2026875.1231149482</v>
      </c>
      <c r="J262" s="33">
        <v>452913.87342091103</v>
      </c>
      <c r="K262" s="34">
        <v>157461.69736822363</v>
      </c>
      <c r="L262" s="231">
        <f>Yhteenveto[[#This Row],[Valtionosuus omarahoitusosuuden jälkeen (välisumma)]]+Yhteenveto[[#This Row],[Lisäosat yhteensä]]+Yhteenveto[[#This Row],[Valtionosuuteen tehtävät vähennykset ja lisäykset, netto]]</f>
        <v>2637250.6939040828</v>
      </c>
      <c r="M262" s="34">
        <v>1205387.4507114978</v>
      </c>
      <c r="N262" s="303">
        <f>SUM(Yhteenveto[[#This Row],[Valtionosuus ennen verotuloihin perustuvaa valtionosuuden tasausta]]+Yhteenveto[[#This Row],[Verotuloihin perustuva valtionosuuden tasaus]])</f>
        <v>3842638.1446155803</v>
      </c>
      <c r="O262" s="241">
        <v>465507.37883790198</v>
      </c>
      <c r="P262" s="372">
        <f>SUM(Yhteenveto[[#This Row],[Kunnan  peruspalvelujen valtionosuus ]:[Veroperustemuutoksista johtuvien veromenetysten korvaus]])</f>
        <v>4308145.5234534824</v>
      </c>
      <c r="Q262" s="34">
        <v>-13426.650000000001</v>
      </c>
      <c r="R262" s="341">
        <f>+Yhteenveto[[#This Row],[Kunnan  peruspalvelujen valtionosuus ]]+Yhteenveto[[#This Row],[Veroperustemuutoksista johtuvien veromenetysten korvaus]]+Yhteenveto[[#This Row],[Kotikuntakorvaus, netto (ei päivitetty)]]</f>
        <v>4294718.8734534821</v>
      </c>
      <c r="S262" s="11"/>
      <c r="T262"/>
    </row>
    <row r="263" spans="1:20" ht="15">
      <c r="A263" s="32">
        <v>846</v>
      </c>
      <c r="B263" s="13" t="s">
        <v>268</v>
      </c>
      <c r="C263" s="15">
        <v>4758</v>
      </c>
      <c r="D263" s="15">
        <v>6651009.3100000005</v>
      </c>
      <c r="E263" s="15">
        <v>1262594.5070212476</v>
      </c>
      <c r="F263" s="231">
        <f>Yhteenveto[[#This Row],[Ikärakenne, laskennallinen kustannus]]+Yhteenveto[[#This Row],[Muut laskennalliset kustannukset ]]</f>
        <v>7913603.8170212479</v>
      </c>
      <c r="G263" s="508">
        <v>1422.47</v>
      </c>
      <c r="H263" s="17">
        <v>6768112.2599999998</v>
      </c>
      <c r="I263" s="339">
        <f>Yhteenveto[[#This Row],[Laskennalliset kustannukset yhteensä]]-Yhteenveto[[#This Row],[Omarahoitusosuus, €]]</f>
        <v>1145491.5570212482</v>
      </c>
      <c r="J263" s="33">
        <v>206426.49692413729</v>
      </c>
      <c r="K263" s="34">
        <v>1325159.7765374209</v>
      </c>
      <c r="L263" s="231">
        <f>Yhteenveto[[#This Row],[Valtionosuus omarahoitusosuuden jälkeen (välisumma)]]+Yhteenveto[[#This Row],[Lisäosat yhteensä]]+Yhteenveto[[#This Row],[Valtionosuuteen tehtävät vähennykset ja lisäykset, netto]]</f>
        <v>2677077.8304828061</v>
      </c>
      <c r="M263" s="34">
        <v>2898286.8695295621</v>
      </c>
      <c r="N263" s="303">
        <f>SUM(Yhteenveto[[#This Row],[Valtionosuus ennen verotuloihin perustuvaa valtionosuuden tasausta]]+Yhteenveto[[#This Row],[Verotuloihin perustuva valtionosuuden tasaus]])</f>
        <v>5575364.7000123682</v>
      </c>
      <c r="O263" s="241">
        <v>799210.69637645991</v>
      </c>
      <c r="P263" s="372">
        <f>SUM(Yhteenveto[[#This Row],[Kunnan  peruspalvelujen valtionosuus ]:[Veroperustemuutoksista johtuvien veromenetysten korvaus]])</f>
        <v>6374575.3963888278</v>
      </c>
      <c r="Q263" s="34">
        <v>35953.584999999992</v>
      </c>
      <c r="R263" s="341">
        <f>+Yhteenveto[[#This Row],[Kunnan  peruspalvelujen valtionosuus ]]+Yhteenveto[[#This Row],[Veroperustemuutoksista johtuvien veromenetysten korvaus]]+Yhteenveto[[#This Row],[Kotikuntakorvaus, netto (ei päivitetty)]]</f>
        <v>6410528.9813888278</v>
      </c>
      <c r="S263" s="11"/>
      <c r="T263"/>
    </row>
    <row r="264" spans="1:20" ht="15">
      <c r="A264" s="32">
        <v>848</v>
      </c>
      <c r="B264" s="13" t="s">
        <v>269</v>
      </c>
      <c r="C264" s="15">
        <v>4066</v>
      </c>
      <c r="D264" s="15">
        <v>5329244.7600000007</v>
      </c>
      <c r="E264" s="15">
        <v>1905606.0299620125</v>
      </c>
      <c r="F264" s="231">
        <f>Yhteenveto[[#This Row],[Ikärakenne, laskennallinen kustannus]]+Yhteenveto[[#This Row],[Muut laskennalliset kustannukset ]]</f>
        <v>7234850.7899620133</v>
      </c>
      <c r="G264" s="508">
        <v>1422.47</v>
      </c>
      <c r="H264" s="17">
        <v>5783763.0200000005</v>
      </c>
      <c r="I264" s="339">
        <f>Yhteenveto[[#This Row],[Laskennalliset kustannukset yhteensä]]-Yhteenveto[[#This Row],[Omarahoitusosuus, €]]</f>
        <v>1451087.7699620128</v>
      </c>
      <c r="J264" s="33">
        <v>350774.03561254701</v>
      </c>
      <c r="K264" s="34">
        <v>369103.79229027708</v>
      </c>
      <c r="L264" s="231">
        <f>Yhteenveto[[#This Row],[Valtionosuus omarahoitusosuuden jälkeen (välisumma)]]+Yhteenveto[[#This Row],[Lisäosat yhteensä]]+Yhteenveto[[#This Row],[Valtionosuuteen tehtävät vähennykset ja lisäykset, netto]]</f>
        <v>2170965.5978648369</v>
      </c>
      <c r="M264" s="34">
        <v>2726414.0559892952</v>
      </c>
      <c r="N264" s="303">
        <f>SUM(Yhteenveto[[#This Row],[Valtionosuus ennen verotuloihin perustuvaa valtionosuuden tasausta]]+Yhteenveto[[#This Row],[Verotuloihin perustuva valtionosuuden tasaus]])</f>
        <v>4897379.6538541317</v>
      </c>
      <c r="O264" s="241">
        <v>730657.32417312812</v>
      </c>
      <c r="P264" s="372">
        <f>SUM(Yhteenveto[[#This Row],[Kunnan  peruspalvelujen valtionosuus ]:[Veroperustemuutoksista johtuvien veromenetysten korvaus]])</f>
        <v>5628036.9780272599</v>
      </c>
      <c r="Q264" s="34">
        <v>-1566.4425000000047</v>
      </c>
      <c r="R264" s="341">
        <f>+Yhteenveto[[#This Row],[Kunnan  peruspalvelujen valtionosuus ]]+Yhteenveto[[#This Row],[Veroperustemuutoksista johtuvien veromenetysten korvaus]]+Yhteenveto[[#This Row],[Kotikuntakorvaus, netto (ei päivitetty)]]</f>
        <v>5626470.53552726</v>
      </c>
      <c r="S264" s="11"/>
      <c r="T264"/>
    </row>
    <row r="265" spans="1:20" ht="15">
      <c r="A265" s="32">
        <v>849</v>
      </c>
      <c r="B265" s="13" t="s">
        <v>270</v>
      </c>
      <c r="C265" s="15">
        <v>2849</v>
      </c>
      <c r="D265" s="15">
        <v>4945283.09</v>
      </c>
      <c r="E265" s="15">
        <v>889510.54022506543</v>
      </c>
      <c r="F265" s="231">
        <f>Yhteenveto[[#This Row],[Ikärakenne, laskennallinen kustannus]]+Yhteenveto[[#This Row],[Muut laskennalliset kustannukset ]]</f>
        <v>5834793.6302250652</v>
      </c>
      <c r="G265" s="508">
        <v>1422.47</v>
      </c>
      <c r="H265" s="17">
        <v>4052617.0300000003</v>
      </c>
      <c r="I265" s="339">
        <f>Yhteenveto[[#This Row],[Laskennalliset kustannukset yhteensä]]-Yhteenveto[[#This Row],[Omarahoitusosuus, €]]</f>
        <v>1782176.6002250649</v>
      </c>
      <c r="J265" s="33">
        <v>240910.8478887112</v>
      </c>
      <c r="K265" s="34">
        <v>618798.33921381226</v>
      </c>
      <c r="L265" s="231">
        <f>Yhteenveto[[#This Row],[Valtionosuus omarahoitusosuuden jälkeen (välisumma)]]+Yhteenveto[[#This Row],[Lisäosat yhteensä]]+Yhteenveto[[#This Row],[Valtionosuuteen tehtävät vähennykset ja lisäykset, netto]]</f>
        <v>2641885.7873275885</v>
      </c>
      <c r="M265" s="34">
        <v>1816186.3200506472</v>
      </c>
      <c r="N265" s="303">
        <f>SUM(Yhteenveto[[#This Row],[Valtionosuus ennen verotuloihin perustuvaa valtionosuuden tasausta]]+Yhteenveto[[#This Row],[Verotuloihin perustuva valtionosuuden tasaus]])</f>
        <v>4458072.107378236</v>
      </c>
      <c r="O265" s="241">
        <v>505363.43283849611</v>
      </c>
      <c r="P265" s="372">
        <f>SUM(Yhteenveto[[#This Row],[Kunnan  peruspalvelujen valtionosuus ]:[Veroperustemuutoksista johtuvien veromenetysten korvaus]])</f>
        <v>4963435.5402167318</v>
      </c>
      <c r="Q265" s="34">
        <v>276141.43500000006</v>
      </c>
      <c r="R265" s="341">
        <f>+Yhteenveto[[#This Row],[Kunnan  peruspalvelujen valtionosuus ]]+Yhteenveto[[#This Row],[Veroperustemuutoksista johtuvien veromenetysten korvaus]]+Yhteenveto[[#This Row],[Kotikuntakorvaus, netto (ei päivitetty)]]</f>
        <v>5239576.9752167314</v>
      </c>
      <c r="S265" s="11"/>
      <c r="T265"/>
    </row>
    <row r="266" spans="1:20" ht="15">
      <c r="A266" s="32">
        <v>850</v>
      </c>
      <c r="B266" s="13" t="s">
        <v>271</v>
      </c>
      <c r="C266" s="15">
        <v>2368</v>
      </c>
      <c r="D266" s="15">
        <v>4102053.1599999992</v>
      </c>
      <c r="E266" s="15">
        <v>620858.56693477731</v>
      </c>
      <c r="F266" s="231">
        <f>Yhteenveto[[#This Row],[Ikärakenne, laskennallinen kustannus]]+Yhteenveto[[#This Row],[Muut laskennalliset kustannukset ]]</f>
        <v>4722911.7269347766</v>
      </c>
      <c r="G266" s="508">
        <v>1422.47</v>
      </c>
      <c r="H266" s="17">
        <v>3368408.96</v>
      </c>
      <c r="I266" s="339">
        <f>Yhteenveto[[#This Row],[Laskennalliset kustannukset yhteensä]]-Yhteenveto[[#This Row],[Omarahoitusosuus, €]]</f>
        <v>1354502.7669347767</v>
      </c>
      <c r="J266" s="33">
        <v>81687.207332311285</v>
      </c>
      <c r="K266" s="34">
        <v>287294.6006546038</v>
      </c>
      <c r="L266" s="231">
        <f>Yhteenveto[[#This Row],[Valtionosuus omarahoitusosuuden jälkeen (välisumma)]]+Yhteenveto[[#This Row],[Lisäosat yhteensä]]+Yhteenveto[[#This Row],[Valtionosuuteen tehtävät vähennykset ja lisäykset, netto]]</f>
        <v>1723484.5749216918</v>
      </c>
      <c r="M266" s="34">
        <v>1061097.9575802891</v>
      </c>
      <c r="N266" s="303">
        <f>SUM(Yhteenveto[[#This Row],[Valtionosuus ennen verotuloihin perustuvaa valtionosuuden tasausta]]+Yhteenveto[[#This Row],[Verotuloihin perustuva valtionosuuden tasaus]])</f>
        <v>2784582.5325019807</v>
      </c>
      <c r="O266" s="241">
        <v>248776.63797278804</v>
      </c>
      <c r="P266" s="372">
        <f>SUM(Yhteenveto[[#This Row],[Kunnan  peruspalvelujen valtionosuus ]:[Veroperustemuutoksista johtuvien veromenetysten korvaus]])</f>
        <v>3033359.1704747686</v>
      </c>
      <c r="Q266" s="34">
        <v>219824.09750000003</v>
      </c>
      <c r="R266" s="341">
        <f>+Yhteenveto[[#This Row],[Kunnan  peruspalvelujen valtionosuus ]]+Yhteenveto[[#This Row],[Veroperustemuutoksista johtuvien veromenetysten korvaus]]+Yhteenveto[[#This Row],[Kotikuntakorvaus, netto (ei päivitetty)]]</f>
        <v>3253183.2679747688</v>
      </c>
      <c r="S266" s="11"/>
      <c r="T266"/>
    </row>
    <row r="267" spans="1:20" ht="15">
      <c r="A267" s="32">
        <v>851</v>
      </c>
      <c r="B267" s="13" t="s">
        <v>272</v>
      </c>
      <c r="C267" s="15">
        <v>21018</v>
      </c>
      <c r="D267" s="15">
        <v>33982780.829999998</v>
      </c>
      <c r="E267" s="15">
        <v>4905012.0290129427</v>
      </c>
      <c r="F267" s="231">
        <f>Yhteenveto[[#This Row],[Ikärakenne, laskennallinen kustannus]]+Yhteenveto[[#This Row],[Muut laskennalliset kustannukset ]]</f>
        <v>38887792.859012939</v>
      </c>
      <c r="G267" s="508">
        <v>1422.47</v>
      </c>
      <c r="H267" s="17">
        <v>29897474.460000001</v>
      </c>
      <c r="I267" s="339">
        <f>Yhteenveto[[#This Row],[Laskennalliset kustannukset yhteensä]]-Yhteenveto[[#This Row],[Omarahoitusosuus, €]]</f>
        <v>8990318.3990129381</v>
      </c>
      <c r="J267" s="33">
        <v>824821.65537423012</v>
      </c>
      <c r="K267" s="34">
        <v>-6451045.8450981695</v>
      </c>
      <c r="L267" s="231">
        <f>Yhteenveto[[#This Row],[Valtionosuus omarahoitusosuuden jälkeen (välisumma)]]+Yhteenveto[[#This Row],[Lisäosat yhteensä]]+Yhteenveto[[#This Row],[Valtionosuuteen tehtävät vähennykset ja lisäykset, netto]]</f>
        <v>3364094.2092889994</v>
      </c>
      <c r="M267" s="34">
        <v>6586487.6159022059</v>
      </c>
      <c r="N267" s="303">
        <f>SUM(Yhteenveto[[#This Row],[Valtionosuus ennen verotuloihin perustuvaa valtionosuuden tasausta]]+Yhteenveto[[#This Row],[Verotuloihin perustuva valtionosuuden tasaus]])</f>
        <v>9950581.8251912054</v>
      </c>
      <c r="O267" s="241">
        <v>1910925.4761938753</v>
      </c>
      <c r="P267" s="372">
        <f>SUM(Yhteenveto[[#This Row],[Kunnan  peruspalvelujen valtionosuus ]:[Veroperustemuutoksista johtuvien veromenetysten korvaus]])</f>
        <v>11861507.30138508</v>
      </c>
      <c r="Q267" s="34">
        <v>-119825.39200000002</v>
      </c>
      <c r="R267" s="341">
        <f>+Yhteenveto[[#This Row],[Kunnan  peruspalvelujen valtionosuus ]]+Yhteenveto[[#This Row],[Veroperustemuutoksista johtuvien veromenetysten korvaus]]+Yhteenveto[[#This Row],[Kotikuntakorvaus, netto (ei päivitetty)]]</f>
        <v>11741681.90938508</v>
      </c>
      <c r="S267" s="11"/>
      <c r="T267"/>
    </row>
    <row r="268" spans="1:20" ht="15">
      <c r="A268" s="32">
        <v>853</v>
      </c>
      <c r="B268" s="13" t="s">
        <v>273</v>
      </c>
      <c r="C268" s="15">
        <v>201863</v>
      </c>
      <c r="D268" s="15">
        <v>249354613.67000002</v>
      </c>
      <c r="E268" s="15">
        <v>99667772.529384196</v>
      </c>
      <c r="F268" s="231">
        <f>Yhteenveto[[#This Row],[Ikärakenne, laskennallinen kustannus]]+Yhteenveto[[#This Row],[Muut laskennalliset kustannukset ]]</f>
        <v>349022386.19938421</v>
      </c>
      <c r="G268" s="508">
        <v>1422.47</v>
      </c>
      <c r="H268" s="17">
        <v>287144061.61000001</v>
      </c>
      <c r="I268" s="339">
        <f>Yhteenveto[[#This Row],[Laskennalliset kustannukset yhteensä]]-Yhteenveto[[#This Row],[Omarahoitusosuus, €]]</f>
        <v>61878324.589384198</v>
      </c>
      <c r="J268" s="33">
        <v>10106716.034982884</v>
      </c>
      <c r="K268" s="34">
        <v>-42621655.826825932</v>
      </c>
      <c r="L268" s="231">
        <f>Yhteenveto[[#This Row],[Valtionosuus omarahoitusosuuden jälkeen (välisumma)]]+Yhteenveto[[#This Row],[Lisäosat yhteensä]]+Yhteenveto[[#This Row],[Valtionosuuteen tehtävät vähennykset ja lisäykset, netto]]</f>
        <v>29363384.797541156</v>
      </c>
      <c r="M268" s="34">
        <v>-2435399.6792767304</v>
      </c>
      <c r="N268" s="303">
        <f>SUM(Yhteenveto[[#This Row],[Valtionosuus ennen verotuloihin perustuvaa valtionosuuden tasausta]]+Yhteenveto[[#This Row],[Verotuloihin perustuva valtionosuuden tasaus]])</f>
        <v>26927985.118264426</v>
      </c>
      <c r="O268" s="241">
        <v>22072941.06822174</v>
      </c>
      <c r="P268" s="372">
        <f>SUM(Yhteenveto[[#This Row],[Kunnan  peruspalvelujen valtionosuus ]:[Veroperustemuutoksista johtuvien veromenetysten korvaus]])</f>
        <v>49000926.18648617</v>
      </c>
      <c r="Q268" s="34">
        <v>-2704801.6261999998</v>
      </c>
      <c r="R268" s="341">
        <f>+Yhteenveto[[#This Row],[Kunnan  peruspalvelujen valtionosuus ]]+Yhteenveto[[#This Row],[Veroperustemuutoksista johtuvien veromenetysten korvaus]]+Yhteenveto[[#This Row],[Kotikuntakorvaus, netto (ei päivitetty)]]</f>
        <v>46296124.560286172</v>
      </c>
      <c r="S268" s="11"/>
      <c r="T268"/>
    </row>
    <row r="269" spans="1:20" ht="15">
      <c r="A269" s="32">
        <v>854</v>
      </c>
      <c r="B269" s="13" t="s">
        <v>274</v>
      </c>
      <c r="C269" s="15">
        <v>3253</v>
      </c>
      <c r="D269" s="15">
        <v>3168371.9</v>
      </c>
      <c r="E269" s="15">
        <v>1960239.3623502385</v>
      </c>
      <c r="F269" s="231">
        <f>Yhteenveto[[#This Row],[Ikärakenne, laskennallinen kustannus]]+Yhteenveto[[#This Row],[Muut laskennalliset kustannukset ]]</f>
        <v>5128611.2623502389</v>
      </c>
      <c r="G269" s="508">
        <v>1422.47</v>
      </c>
      <c r="H269" s="17">
        <v>4627294.91</v>
      </c>
      <c r="I269" s="339">
        <f>Yhteenveto[[#This Row],[Laskennalliset kustannukset yhteensä]]-Yhteenveto[[#This Row],[Omarahoitusosuus, €]]</f>
        <v>501316.35235023871</v>
      </c>
      <c r="J269" s="33">
        <v>1197586.254608654</v>
      </c>
      <c r="K269" s="34">
        <v>-593295.95494490175</v>
      </c>
      <c r="L269" s="231">
        <f>Yhteenveto[[#This Row],[Valtionosuus omarahoitusosuuden jälkeen (välisumma)]]+Yhteenveto[[#This Row],[Lisäosat yhteensä]]+Yhteenveto[[#This Row],[Valtionosuuteen tehtävät vähennykset ja lisäykset, netto]]</f>
        <v>1105606.652013991</v>
      </c>
      <c r="M269" s="34">
        <v>1386453.7715305281</v>
      </c>
      <c r="N269" s="303">
        <f>SUM(Yhteenveto[[#This Row],[Valtionosuus ennen verotuloihin perustuvaa valtionosuuden tasausta]]+Yhteenveto[[#This Row],[Verotuloihin perustuva valtionosuuden tasaus]])</f>
        <v>2492060.4235445191</v>
      </c>
      <c r="O269" s="241">
        <v>476582.23563160974</v>
      </c>
      <c r="P269" s="372">
        <f>SUM(Yhteenveto[[#This Row],[Kunnan  peruspalvelujen valtionosuus ]:[Veroperustemuutoksista johtuvien veromenetysten korvaus]])</f>
        <v>2968642.6591761289</v>
      </c>
      <c r="Q269" s="34">
        <v>-36848.695</v>
      </c>
      <c r="R269" s="341">
        <f>+Yhteenveto[[#This Row],[Kunnan  peruspalvelujen valtionosuus ]]+Yhteenveto[[#This Row],[Veroperustemuutoksista johtuvien veromenetysten korvaus]]+Yhteenveto[[#This Row],[Kotikuntakorvaus, netto (ei päivitetty)]]</f>
        <v>2931793.9641761291</v>
      </c>
      <c r="S269" s="11"/>
      <c r="T269"/>
    </row>
    <row r="270" spans="1:20" ht="15">
      <c r="A270" s="32">
        <v>857</v>
      </c>
      <c r="B270" s="13" t="s">
        <v>275</v>
      </c>
      <c r="C270" s="15">
        <v>2313</v>
      </c>
      <c r="D270" s="15">
        <v>2359744.65</v>
      </c>
      <c r="E270" s="15">
        <v>891545.81241920672</v>
      </c>
      <c r="F270" s="231">
        <f>Yhteenveto[[#This Row],[Ikärakenne, laskennallinen kustannus]]+Yhteenveto[[#This Row],[Muut laskennalliset kustannukset ]]</f>
        <v>3251290.4624192067</v>
      </c>
      <c r="G270" s="508">
        <v>1422.47</v>
      </c>
      <c r="H270" s="17">
        <v>3290173.11</v>
      </c>
      <c r="I270" s="339">
        <f>Yhteenveto[[#This Row],[Laskennalliset kustannukset yhteensä]]-Yhteenveto[[#This Row],[Omarahoitusosuus, €]]</f>
        <v>-38882.647580793127</v>
      </c>
      <c r="J270" s="33">
        <v>331780.52452526754</v>
      </c>
      <c r="K270" s="34">
        <v>-1857447.1093573603</v>
      </c>
      <c r="L270" s="231">
        <f>Yhteenveto[[#This Row],[Valtionosuus omarahoitusosuuden jälkeen (välisumma)]]+Yhteenveto[[#This Row],[Lisäosat yhteensä]]+Yhteenveto[[#This Row],[Valtionosuuteen tehtävät vähennykset ja lisäykset, netto]]</f>
        <v>-1564549.2324128859</v>
      </c>
      <c r="M270" s="34">
        <v>1205670.991438057</v>
      </c>
      <c r="N270" s="303">
        <f>SUM(Yhteenveto[[#This Row],[Valtionosuus ennen verotuloihin perustuvaa valtionosuuden tasausta]]+Yhteenveto[[#This Row],[Verotuloihin perustuva valtionosuuden tasaus]])</f>
        <v>-358878.24097482883</v>
      </c>
      <c r="O270" s="241">
        <v>389609.79308019037</v>
      </c>
      <c r="P270" s="372">
        <f>SUM(Yhteenveto[[#This Row],[Kunnan  peruspalvelujen valtionosuus ]:[Veroperustemuutoksista johtuvien veromenetysten korvaus]])</f>
        <v>30731.552105361538</v>
      </c>
      <c r="Q270" s="34">
        <v>767631.41750000021</v>
      </c>
      <c r="R270" s="341">
        <f>+Yhteenveto[[#This Row],[Kunnan  peruspalvelujen valtionosuus ]]+Yhteenveto[[#This Row],[Veroperustemuutoksista johtuvien veromenetysten korvaus]]+Yhteenveto[[#This Row],[Kotikuntakorvaus, netto (ei päivitetty)]]</f>
        <v>798362.96960536181</v>
      </c>
      <c r="S270" s="11"/>
      <c r="T270"/>
    </row>
    <row r="271" spans="1:20" ht="15">
      <c r="A271" s="32">
        <v>858</v>
      </c>
      <c r="B271" s="13" t="s">
        <v>276</v>
      </c>
      <c r="C271" s="15">
        <v>41338</v>
      </c>
      <c r="D271" s="15">
        <v>72426785.779999986</v>
      </c>
      <c r="E271" s="15">
        <v>10955578.977467295</v>
      </c>
      <c r="F271" s="231">
        <f>Yhteenveto[[#This Row],[Ikärakenne, laskennallinen kustannus]]+Yhteenveto[[#This Row],[Muut laskennalliset kustannukset ]]</f>
        <v>83382364.757467285</v>
      </c>
      <c r="G271" s="508">
        <v>1422.47</v>
      </c>
      <c r="H271" s="17">
        <v>58802064.859999999</v>
      </c>
      <c r="I271" s="339">
        <f>Yhteenveto[[#This Row],[Laskennalliset kustannukset yhteensä]]-Yhteenveto[[#This Row],[Omarahoitusosuus, €]]</f>
        <v>24580299.897467285</v>
      </c>
      <c r="J271" s="33">
        <v>2219676.5743706562</v>
      </c>
      <c r="K271" s="34">
        <v>4471268.5999862114</v>
      </c>
      <c r="L271" s="231">
        <f>Yhteenveto[[#This Row],[Valtionosuus omarahoitusosuuden jälkeen (välisumma)]]+Yhteenveto[[#This Row],[Lisäosat yhteensä]]+Yhteenveto[[#This Row],[Valtionosuuteen tehtävät vähennykset ja lisäykset, netto]]</f>
        <v>31271245.071824152</v>
      </c>
      <c r="M271" s="34">
        <v>-1082796.0427920246</v>
      </c>
      <c r="N271" s="303">
        <f>SUM(Yhteenveto[[#This Row],[Valtionosuus ennen verotuloihin perustuvaa valtionosuuden tasausta]]+Yhteenveto[[#This Row],[Verotuloihin perustuva valtionosuuden tasaus]])</f>
        <v>30188449.029032126</v>
      </c>
      <c r="O271" s="241">
        <v>2432538.4217795199</v>
      </c>
      <c r="P271" s="372">
        <f>SUM(Yhteenveto[[#This Row],[Kunnan  peruspalvelujen valtionosuus ]:[Veroperustemuutoksista johtuvien veromenetysten korvaus]])</f>
        <v>32620987.450811647</v>
      </c>
      <c r="Q271" s="34">
        <v>2345798.3666500007</v>
      </c>
      <c r="R271" s="341">
        <f>+Yhteenveto[[#This Row],[Kunnan  peruspalvelujen valtionosuus ]]+Yhteenveto[[#This Row],[Veroperustemuutoksista johtuvien veromenetysten korvaus]]+Yhteenveto[[#This Row],[Kotikuntakorvaus, netto (ei päivitetty)]]</f>
        <v>34966785.817461647</v>
      </c>
      <c r="S271" s="11"/>
      <c r="T271"/>
    </row>
    <row r="272" spans="1:20" ht="15">
      <c r="A272" s="32">
        <v>859</v>
      </c>
      <c r="B272" s="13" t="s">
        <v>277</v>
      </c>
      <c r="C272" s="15">
        <v>6525</v>
      </c>
      <c r="D272" s="15">
        <v>18420347.879999999</v>
      </c>
      <c r="E272" s="15">
        <v>1168849.4564339754</v>
      </c>
      <c r="F272" s="231">
        <f>Yhteenveto[[#This Row],[Ikärakenne, laskennallinen kustannus]]+Yhteenveto[[#This Row],[Muut laskennalliset kustannukset ]]</f>
        <v>19589197.336433973</v>
      </c>
      <c r="G272" s="508">
        <v>1422.47</v>
      </c>
      <c r="H272" s="17">
        <v>9281616.75</v>
      </c>
      <c r="I272" s="339">
        <f>Yhteenveto[[#This Row],[Laskennalliset kustannukset yhteensä]]-Yhteenveto[[#This Row],[Omarahoitusosuus, €]]</f>
        <v>10307580.586433973</v>
      </c>
      <c r="J272" s="33">
        <v>163340.72030801838</v>
      </c>
      <c r="K272" s="34">
        <v>-3664196.9296058104</v>
      </c>
      <c r="L272" s="231">
        <f>Yhteenveto[[#This Row],[Valtionosuus omarahoitusosuuden jälkeen (välisumma)]]+Yhteenveto[[#This Row],[Lisäosat yhteensä]]+Yhteenveto[[#This Row],[Valtionosuuteen tehtävät vähennykset ja lisäykset, netto]]</f>
        <v>6806724.377136182</v>
      </c>
      <c r="M272" s="34">
        <v>4805352.7563107545</v>
      </c>
      <c r="N272" s="303">
        <f>SUM(Yhteenveto[[#This Row],[Valtionosuus ennen verotuloihin perustuvaa valtionosuuden tasausta]]+Yhteenveto[[#This Row],[Verotuloihin perustuva valtionosuuden tasaus]])</f>
        <v>11612077.133446936</v>
      </c>
      <c r="O272" s="241">
        <v>435326.61608834704</v>
      </c>
      <c r="P272" s="372">
        <f>SUM(Yhteenveto[[#This Row],[Kunnan  peruspalvelujen valtionosuus ]:[Veroperustemuutoksista johtuvien veromenetysten korvaus]])</f>
        <v>12047403.749535283</v>
      </c>
      <c r="Q272" s="34">
        <v>43472.50900000002</v>
      </c>
      <c r="R272" s="341">
        <f>+Yhteenveto[[#This Row],[Kunnan  peruspalvelujen valtionosuus ]]+Yhteenveto[[#This Row],[Veroperustemuutoksista johtuvien veromenetysten korvaus]]+Yhteenveto[[#This Row],[Kotikuntakorvaus, netto (ei päivitetty)]]</f>
        <v>12090876.258535283</v>
      </c>
      <c r="S272" s="11"/>
      <c r="T272"/>
    </row>
    <row r="273" spans="1:20" ht="15">
      <c r="A273" s="32">
        <v>886</v>
      </c>
      <c r="B273" s="13" t="s">
        <v>278</v>
      </c>
      <c r="C273" s="15">
        <v>12533</v>
      </c>
      <c r="D273" s="15">
        <v>20497591.829999998</v>
      </c>
      <c r="E273" s="15">
        <v>2281608.1994980616</v>
      </c>
      <c r="F273" s="231">
        <f>Yhteenveto[[#This Row],[Ikärakenne, laskennallinen kustannus]]+Yhteenveto[[#This Row],[Muut laskennalliset kustannukset ]]</f>
        <v>22779200.029498059</v>
      </c>
      <c r="G273" s="508">
        <v>1422.47</v>
      </c>
      <c r="H273" s="17">
        <v>17827816.510000002</v>
      </c>
      <c r="I273" s="339">
        <f>Yhteenveto[[#This Row],[Laskennalliset kustannukset yhteensä]]-Yhteenveto[[#This Row],[Omarahoitusosuus, €]]</f>
        <v>4951383.5194980577</v>
      </c>
      <c r="J273" s="33">
        <v>364031.95362043031</v>
      </c>
      <c r="K273" s="34">
        <v>-1986885.9142841585</v>
      </c>
      <c r="L273" s="231">
        <f>Yhteenveto[[#This Row],[Valtionosuus omarahoitusosuuden jälkeen (välisumma)]]+Yhteenveto[[#This Row],[Lisäosat yhteensä]]+Yhteenveto[[#This Row],[Valtionosuuteen tehtävät vähennykset ja lisäykset, netto]]</f>
        <v>3328529.5588343292</v>
      </c>
      <c r="M273" s="34">
        <v>3924923.2426070883</v>
      </c>
      <c r="N273" s="303">
        <f>SUM(Yhteenveto[[#This Row],[Valtionosuus ennen verotuloihin perustuvaa valtionosuuden tasausta]]+Yhteenveto[[#This Row],[Verotuloihin perustuva valtionosuuden tasaus]])</f>
        <v>7253452.801441418</v>
      </c>
      <c r="O273" s="241">
        <v>1049911.4088133033</v>
      </c>
      <c r="P273" s="372">
        <f>SUM(Yhteenveto[[#This Row],[Kunnan  peruspalvelujen valtionosuus ]:[Veroperustemuutoksista johtuvien veromenetysten korvaus]])</f>
        <v>8303364.2102547213</v>
      </c>
      <c r="Q273" s="34">
        <v>28518.204599999823</v>
      </c>
      <c r="R273" s="341">
        <f>+Yhteenveto[[#This Row],[Kunnan  peruspalvelujen valtionosuus ]]+Yhteenveto[[#This Row],[Veroperustemuutoksista johtuvien veromenetysten korvaus]]+Yhteenveto[[#This Row],[Kotikuntakorvaus, netto (ei päivitetty)]]</f>
        <v>8331882.4148547212</v>
      </c>
      <c r="S273" s="11"/>
      <c r="T273"/>
    </row>
    <row r="274" spans="1:20" ht="15">
      <c r="A274" s="32">
        <v>887</v>
      </c>
      <c r="B274" s="13" t="s">
        <v>279</v>
      </c>
      <c r="C274" s="15">
        <v>4568</v>
      </c>
      <c r="D274" s="15">
        <v>5819445.2599999998</v>
      </c>
      <c r="E274" s="15">
        <v>1367830.9197457253</v>
      </c>
      <c r="F274" s="231">
        <f>Yhteenveto[[#This Row],[Ikärakenne, laskennallinen kustannus]]+Yhteenveto[[#This Row],[Muut laskennalliset kustannukset ]]</f>
        <v>7187276.1797457254</v>
      </c>
      <c r="G274" s="508">
        <v>1422.47</v>
      </c>
      <c r="H274" s="17">
        <v>6497842.96</v>
      </c>
      <c r="I274" s="339">
        <f>Yhteenveto[[#This Row],[Laskennalliset kustannukset yhteensä]]-Yhteenveto[[#This Row],[Omarahoitusosuus, €]]</f>
        <v>689433.21974572539</v>
      </c>
      <c r="J274" s="33">
        <v>129228.97451311158</v>
      </c>
      <c r="K274" s="34">
        <v>-887791.97345062718</v>
      </c>
      <c r="L274" s="231">
        <f>Yhteenveto[[#This Row],[Valtionosuus omarahoitusosuuden jälkeen (välisumma)]]+Yhteenveto[[#This Row],[Lisäosat yhteensä]]+Yhteenveto[[#This Row],[Valtionosuuteen tehtävät vähennykset ja lisäykset, netto]]</f>
        <v>-69129.779191790149</v>
      </c>
      <c r="M274" s="34">
        <v>2599928.1303371349</v>
      </c>
      <c r="N274" s="303">
        <f>SUM(Yhteenveto[[#This Row],[Valtionosuus ennen verotuloihin perustuvaa valtionosuuden tasausta]]+Yhteenveto[[#This Row],[Verotuloihin perustuva valtionosuuden tasaus]])</f>
        <v>2530798.3511453448</v>
      </c>
      <c r="O274" s="241">
        <v>700348.04621820373</v>
      </c>
      <c r="P274" s="372">
        <f>SUM(Yhteenveto[[#This Row],[Kunnan  peruspalvelujen valtionosuus ]:[Veroperustemuutoksista johtuvien veromenetysten korvaus]])</f>
        <v>3231146.3973635486</v>
      </c>
      <c r="Q274" s="34">
        <v>227551.88049999994</v>
      </c>
      <c r="R274" s="341">
        <f>+Yhteenveto[[#This Row],[Kunnan  peruspalvelujen valtionosuus ]]+Yhteenveto[[#This Row],[Veroperustemuutoksista johtuvien veromenetysten korvaus]]+Yhteenveto[[#This Row],[Kotikuntakorvaus, netto (ei päivitetty)]]</f>
        <v>3458698.2778635486</v>
      </c>
      <c r="S274" s="11"/>
      <c r="T274"/>
    </row>
    <row r="275" spans="1:20" ht="15">
      <c r="A275" s="32">
        <v>889</v>
      </c>
      <c r="B275" s="13" t="s">
        <v>280</v>
      </c>
      <c r="C275" s="15">
        <v>2491</v>
      </c>
      <c r="D275" s="15">
        <v>3533374.54</v>
      </c>
      <c r="E275" s="15">
        <v>1789264.4655052042</v>
      </c>
      <c r="F275" s="231">
        <f>Yhteenveto[[#This Row],[Ikärakenne, laskennallinen kustannus]]+Yhteenveto[[#This Row],[Muut laskennalliset kustannukset ]]</f>
        <v>5322639.0055052042</v>
      </c>
      <c r="G275" s="508">
        <v>1422.47</v>
      </c>
      <c r="H275" s="17">
        <v>3543372.77</v>
      </c>
      <c r="I275" s="339">
        <f>Yhteenveto[[#This Row],[Laskennalliset kustannukset yhteensä]]-Yhteenveto[[#This Row],[Omarahoitusosuus, €]]</f>
        <v>1779266.2355052042</v>
      </c>
      <c r="J275" s="33">
        <v>402859.39830227371</v>
      </c>
      <c r="K275" s="34">
        <v>1364187.2415968624</v>
      </c>
      <c r="L275" s="231">
        <f>Yhteenveto[[#This Row],[Valtionosuus omarahoitusosuuden jälkeen (välisumma)]]+Yhteenveto[[#This Row],[Lisäosat yhteensä]]+Yhteenveto[[#This Row],[Valtionosuuteen tehtävät vähennykset ja lisäykset, netto]]</f>
        <v>3546312.8754043402</v>
      </c>
      <c r="M275" s="34">
        <v>1321860.8244466104</v>
      </c>
      <c r="N275" s="303">
        <f>SUM(Yhteenveto[[#This Row],[Valtionosuus ennen verotuloihin perustuvaa valtionosuuden tasausta]]+Yhteenveto[[#This Row],[Verotuloihin perustuva valtionosuuden tasaus]])</f>
        <v>4868173.6998509504</v>
      </c>
      <c r="O275" s="241">
        <v>412324.57336824818</v>
      </c>
      <c r="P275" s="372">
        <f>SUM(Yhteenveto[[#This Row],[Kunnan  peruspalvelujen valtionosuus ]:[Veroperustemuutoksista johtuvien veromenetysten korvaus]])</f>
        <v>5280498.2732191989</v>
      </c>
      <c r="Q275" s="34">
        <v>158852.18799999999</v>
      </c>
      <c r="R275" s="341">
        <f>+Yhteenveto[[#This Row],[Kunnan  peruspalvelujen valtionosuus ]]+Yhteenveto[[#This Row],[Veroperustemuutoksista johtuvien veromenetysten korvaus]]+Yhteenveto[[#This Row],[Kotikuntakorvaus, netto (ei päivitetty)]]</f>
        <v>5439350.461219199</v>
      </c>
      <c r="S275" s="11"/>
      <c r="T275"/>
    </row>
    <row r="276" spans="1:20" ht="15">
      <c r="A276" s="32">
        <v>890</v>
      </c>
      <c r="B276" s="13" t="s">
        <v>281</v>
      </c>
      <c r="C276" s="15">
        <v>1139</v>
      </c>
      <c r="D276" s="15">
        <v>1417323.9699999997</v>
      </c>
      <c r="E276" s="15">
        <v>1189779.9080370043</v>
      </c>
      <c r="F276" s="231">
        <f>Yhteenveto[[#This Row],[Ikärakenne, laskennallinen kustannus]]+Yhteenveto[[#This Row],[Muut laskennalliset kustannukset ]]</f>
        <v>2607103.8780370038</v>
      </c>
      <c r="G276" s="508">
        <v>1422.47</v>
      </c>
      <c r="H276" s="17">
        <v>1620193.33</v>
      </c>
      <c r="I276" s="339">
        <f>Yhteenveto[[#This Row],[Laskennalliset kustannukset yhteensä]]-Yhteenveto[[#This Row],[Omarahoitusosuus, €]]</f>
        <v>986910.54803700373</v>
      </c>
      <c r="J276" s="33">
        <v>907161.96406415268</v>
      </c>
      <c r="K276" s="34">
        <v>290068.89242216153</v>
      </c>
      <c r="L276" s="231">
        <f>Yhteenveto[[#This Row],[Valtionosuus omarahoitusosuuden jälkeen (välisumma)]]+Yhteenveto[[#This Row],[Lisäosat yhteensä]]+Yhteenveto[[#This Row],[Valtionosuuteen tehtävät vähennykset ja lisäykset, netto]]</f>
        <v>2184141.4045233177</v>
      </c>
      <c r="M276" s="34">
        <v>477659.19385285943</v>
      </c>
      <c r="N276" s="303">
        <f>SUM(Yhteenveto[[#This Row],[Valtionosuus ennen verotuloihin perustuvaa valtionosuuden tasausta]]+Yhteenveto[[#This Row],[Verotuloihin perustuva valtionosuuden tasaus]])</f>
        <v>2661800.5983761773</v>
      </c>
      <c r="O276" s="241">
        <v>167081.89827370475</v>
      </c>
      <c r="P276" s="372">
        <f>SUM(Yhteenveto[[#This Row],[Kunnan  peruspalvelujen valtionosuus ]:[Veroperustemuutoksista johtuvien veromenetysten korvaus]])</f>
        <v>2828882.4966498818</v>
      </c>
      <c r="Q276" s="34">
        <v>31328.850000000006</v>
      </c>
      <c r="R276" s="341">
        <f>+Yhteenveto[[#This Row],[Kunnan  peruspalvelujen valtionosuus ]]+Yhteenveto[[#This Row],[Veroperustemuutoksista johtuvien veromenetysten korvaus]]+Yhteenveto[[#This Row],[Kotikuntakorvaus, netto (ei päivitetty)]]</f>
        <v>2860211.3466498819</v>
      </c>
      <c r="S276" s="11"/>
      <c r="T276"/>
    </row>
    <row r="277" spans="1:20" ht="15">
      <c r="A277" s="32">
        <v>892</v>
      </c>
      <c r="B277" s="13" t="s">
        <v>282</v>
      </c>
      <c r="C277" s="15">
        <v>3615</v>
      </c>
      <c r="D277" s="15">
        <v>8535180.709999999</v>
      </c>
      <c r="E277" s="15">
        <v>884206.6475069857</v>
      </c>
      <c r="F277" s="231">
        <f>Yhteenveto[[#This Row],[Ikärakenne, laskennallinen kustannus]]+Yhteenveto[[#This Row],[Muut laskennalliset kustannukset ]]</f>
        <v>9419387.3575069848</v>
      </c>
      <c r="G277" s="508">
        <v>1422.47</v>
      </c>
      <c r="H277" s="17">
        <v>5142229.05</v>
      </c>
      <c r="I277" s="339">
        <f>Yhteenveto[[#This Row],[Laskennalliset kustannukset yhteensä]]-Yhteenveto[[#This Row],[Omarahoitusosuus, €]]</f>
        <v>4277158.307506985</v>
      </c>
      <c r="J277" s="33">
        <v>105913.71553111696</v>
      </c>
      <c r="K277" s="34">
        <v>424194.96389216674</v>
      </c>
      <c r="L277" s="231">
        <f>Yhteenveto[[#This Row],[Valtionosuus omarahoitusosuuden jälkeen (välisumma)]]+Yhteenveto[[#This Row],[Lisäosat yhteensä]]+Yhteenveto[[#This Row],[Valtionosuuteen tehtävät vähennykset ja lisäykset, netto]]</f>
        <v>4807266.9869302688</v>
      </c>
      <c r="M277" s="34">
        <v>2415828.2086559054</v>
      </c>
      <c r="N277" s="303">
        <f>SUM(Yhteenveto[[#This Row],[Valtionosuus ennen verotuloihin perustuvaa valtionosuuden tasausta]]+Yhteenveto[[#This Row],[Verotuloihin perustuva valtionosuuden tasaus]])</f>
        <v>7223095.1955861747</v>
      </c>
      <c r="O277" s="241">
        <v>338493.33807185333</v>
      </c>
      <c r="P277" s="372">
        <f>SUM(Yhteenveto[[#This Row],[Kunnan  peruspalvelujen valtionosuus ]:[Veroperustemuutoksista johtuvien veromenetysten korvaus]])</f>
        <v>7561588.5336580276</v>
      </c>
      <c r="Q277" s="34">
        <v>-6743.1620000000112</v>
      </c>
      <c r="R277" s="341">
        <f>+Yhteenveto[[#This Row],[Kunnan  peruspalvelujen valtionosuus ]]+Yhteenveto[[#This Row],[Veroperustemuutoksista johtuvien veromenetysten korvaus]]+Yhteenveto[[#This Row],[Kotikuntakorvaus, netto (ei päivitetty)]]</f>
        <v>7554845.3716580272</v>
      </c>
      <c r="S277" s="11"/>
      <c r="T277"/>
    </row>
    <row r="278" spans="1:20" ht="15">
      <c r="A278" s="32">
        <v>893</v>
      </c>
      <c r="B278" s="13" t="s">
        <v>283</v>
      </c>
      <c r="C278" s="15">
        <v>7500</v>
      </c>
      <c r="D278" s="15">
        <v>13201968.130000001</v>
      </c>
      <c r="E278" s="15">
        <v>4420021.0829684837</v>
      </c>
      <c r="F278" s="231">
        <f>Yhteenveto[[#This Row],[Ikärakenne, laskennallinen kustannus]]+Yhteenveto[[#This Row],[Muut laskennalliset kustannukset ]]</f>
        <v>17621989.212968484</v>
      </c>
      <c r="G278" s="508">
        <v>1422.47</v>
      </c>
      <c r="H278" s="17">
        <v>10668525</v>
      </c>
      <c r="I278" s="339">
        <f>Yhteenveto[[#This Row],[Laskennalliset kustannukset yhteensä]]-Yhteenveto[[#This Row],[Omarahoitusosuus, €]]</f>
        <v>6953464.2129684836</v>
      </c>
      <c r="J278" s="33">
        <v>238661.63624962172</v>
      </c>
      <c r="K278" s="34">
        <v>-1008232.6590890696</v>
      </c>
      <c r="L278" s="231">
        <f>Yhteenveto[[#This Row],[Valtionosuus omarahoitusosuuden jälkeen (välisumma)]]+Yhteenveto[[#This Row],[Lisäosat yhteensä]]+Yhteenveto[[#This Row],[Valtionosuuteen tehtävät vähennykset ja lisäykset, netto]]</f>
        <v>6183893.1901290352</v>
      </c>
      <c r="M278" s="34">
        <v>2415561.8872344387</v>
      </c>
      <c r="N278" s="303">
        <f>SUM(Yhteenveto[[#This Row],[Valtionosuus ennen verotuloihin perustuvaa valtionosuuden tasausta]]+Yhteenveto[[#This Row],[Verotuloihin perustuva valtionosuuden tasaus]])</f>
        <v>8599455.0773634743</v>
      </c>
      <c r="O278" s="241">
        <v>1004124.7412560891</v>
      </c>
      <c r="P278" s="372">
        <f>SUM(Yhteenveto[[#This Row],[Kunnan  peruspalvelujen valtionosuus ]:[Veroperustemuutoksista johtuvien veromenetysten korvaus]])</f>
        <v>9603579.8186195642</v>
      </c>
      <c r="Q278" s="34">
        <v>74.59250000002794</v>
      </c>
      <c r="R278" s="341">
        <f>+Yhteenveto[[#This Row],[Kunnan  peruspalvelujen valtionosuus ]]+Yhteenveto[[#This Row],[Veroperustemuutoksista johtuvien veromenetysten korvaus]]+Yhteenveto[[#This Row],[Kotikuntakorvaus, netto (ei päivitetty)]]</f>
        <v>9603654.4111195635</v>
      </c>
      <c r="S278" s="11"/>
      <c r="T278"/>
    </row>
    <row r="279" spans="1:20" ht="15">
      <c r="A279" s="32">
        <v>895</v>
      </c>
      <c r="B279" s="13" t="s">
        <v>284</v>
      </c>
      <c r="C279" s="15">
        <v>14938</v>
      </c>
      <c r="D279" s="15">
        <v>19711773.5</v>
      </c>
      <c r="E279" s="15">
        <v>5150239.1861059992</v>
      </c>
      <c r="F279" s="231">
        <f>Yhteenveto[[#This Row],[Ikärakenne, laskennallinen kustannus]]+Yhteenveto[[#This Row],[Muut laskennalliset kustannukset ]]</f>
        <v>24862012.686106</v>
      </c>
      <c r="G279" s="508">
        <v>1422.47</v>
      </c>
      <c r="H279" s="17">
        <v>21248856.859999999</v>
      </c>
      <c r="I279" s="339">
        <f>Yhteenveto[[#This Row],[Laskennalliset kustannukset yhteensä]]-Yhteenveto[[#This Row],[Omarahoitusosuus, €]]</f>
        <v>3613155.8261060007</v>
      </c>
      <c r="J279" s="33">
        <v>533661.60709937732</v>
      </c>
      <c r="K279" s="34">
        <v>706086.24913516722</v>
      </c>
      <c r="L279" s="231">
        <f>Yhteenveto[[#This Row],[Valtionosuus omarahoitusosuuden jälkeen (välisumma)]]+Yhteenveto[[#This Row],[Lisäosat yhteensä]]+Yhteenveto[[#This Row],[Valtionosuuteen tehtävät vähennykset ja lisäykset, netto]]</f>
        <v>4852903.6823405456</v>
      </c>
      <c r="M279" s="34">
        <v>645889.1126319851</v>
      </c>
      <c r="N279" s="303">
        <f>SUM(Yhteenveto[[#This Row],[Valtionosuus ennen verotuloihin perustuvaa valtionosuuden tasausta]]+Yhteenveto[[#This Row],[Verotuloihin perustuva valtionosuuden tasaus]])</f>
        <v>5498792.7949725306</v>
      </c>
      <c r="O279" s="241">
        <v>1490776.9621054158</v>
      </c>
      <c r="P279" s="372">
        <f>SUM(Yhteenveto[[#This Row],[Kunnan  peruspalvelujen valtionosuus ]:[Veroperustemuutoksista johtuvien veromenetysten korvaus]])</f>
        <v>6989569.7570779463</v>
      </c>
      <c r="Q279" s="34">
        <v>251302.13249999986</v>
      </c>
      <c r="R279" s="341">
        <f>+Yhteenveto[[#This Row],[Kunnan  peruspalvelujen valtionosuus ]]+Yhteenveto[[#This Row],[Veroperustemuutoksista johtuvien veromenetysten korvaus]]+Yhteenveto[[#This Row],[Kotikuntakorvaus, netto (ei päivitetty)]]</f>
        <v>7240871.8895779466</v>
      </c>
      <c r="S279" s="11"/>
      <c r="T279"/>
    </row>
    <row r="280" spans="1:20" ht="15">
      <c r="A280" s="32">
        <v>905</v>
      </c>
      <c r="B280" s="13" t="s">
        <v>285</v>
      </c>
      <c r="C280" s="15">
        <v>68956</v>
      </c>
      <c r="D280" s="15">
        <v>98691348.220000014</v>
      </c>
      <c r="E280" s="15">
        <v>29396835.364838585</v>
      </c>
      <c r="F280" s="231">
        <f>Yhteenveto[[#This Row],[Ikärakenne, laskennallinen kustannus]]+Yhteenveto[[#This Row],[Muut laskennalliset kustannukset ]]</f>
        <v>128088183.5848386</v>
      </c>
      <c r="G280" s="508">
        <v>1422.47</v>
      </c>
      <c r="H280" s="17">
        <v>98087841.320000008</v>
      </c>
      <c r="I280" s="339">
        <f>Yhteenveto[[#This Row],[Laskennalliset kustannukset yhteensä]]-Yhteenveto[[#This Row],[Omarahoitusosuus, €]]</f>
        <v>30000342.264838591</v>
      </c>
      <c r="J280" s="33">
        <v>3244927.5783722308</v>
      </c>
      <c r="K280" s="34">
        <v>-24958815.692278296</v>
      </c>
      <c r="L280" s="231">
        <f>Yhteenveto[[#This Row],[Valtionosuus omarahoitusosuuden jälkeen (välisumma)]]+Yhteenveto[[#This Row],[Lisäosat yhteensä]]+Yhteenveto[[#This Row],[Valtionosuuteen tehtävät vähennykset ja lisäykset, netto]]</f>
        <v>8286454.1509325281</v>
      </c>
      <c r="M280" s="34">
        <v>5166409.3833687538</v>
      </c>
      <c r="N280" s="303">
        <f>SUM(Yhteenveto[[#This Row],[Valtionosuus ennen verotuloihin perustuvaa valtionosuuden tasausta]]+Yhteenveto[[#This Row],[Verotuloihin perustuva valtionosuuden tasaus]])</f>
        <v>13452863.534301281</v>
      </c>
      <c r="O280" s="241">
        <v>6134400.0545113627</v>
      </c>
      <c r="P280" s="372">
        <f>SUM(Yhteenveto[[#This Row],[Kunnan  peruspalvelujen valtionosuus ]:[Veroperustemuutoksista johtuvien veromenetysten korvaus]])</f>
        <v>19587263.588812642</v>
      </c>
      <c r="Q280" s="34">
        <v>-5458616.4922999982</v>
      </c>
      <c r="R280" s="341">
        <f>+Yhteenveto[[#This Row],[Kunnan  peruspalvelujen valtionosuus ]]+Yhteenveto[[#This Row],[Veroperustemuutoksista johtuvien veromenetysten korvaus]]+Yhteenveto[[#This Row],[Kotikuntakorvaus, netto (ei päivitetty)]]</f>
        <v>14128647.096512644</v>
      </c>
      <c r="S280" s="11"/>
      <c r="T280"/>
    </row>
    <row r="281" spans="1:20" ht="15">
      <c r="A281" s="32">
        <v>908</v>
      </c>
      <c r="B281" s="13" t="s">
        <v>286</v>
      </c>
      <c r="C281" s="15">
        <v>20694</v>
      </c>
      <c r="D281" s="15">
        <v>31075675.289999995</v>
      </c>
      <c r="E281" s="15">
        <v>5242156.4353930224</v>
      </c>
      <c r="F281" s="231">
        <f>Yhteenveto[[#This Row],[Ikärakenne, laskennallinen kustannus]]+Yhteenveto[[#This Row],[Muut laskennalliset kustannukset ]]</f>
        <v>36317831.72539302</v>
      </c>
      <c r="G281" s="508">
        <v>1422.47</v>
      </c>
      <c r="H281" s="17">
        <v>29436594.18</v>
      </c>
      <c r="I281" s="339">
        <f>Yhteenveto[[#This Row],[Laskennalliset kustannukset yhteensä]]-Yhteenveto[[#This Row],[Omarahoitusosuus, €]]</f>
        <v>6881237.5453930199</v>
      </c>
      <c r="J281" s="33">
        <v>634035.08899335901</v>
      </c>
      <c r="K281" s="34">
        <v>-4350568.2051678151</v>
      </c>
      <c r="L281" s="231">
        <f>Yhteenveto[[#This Row],[Valtionosuus omarahoitusosuuden jälkeen (välisumma)]]+Yhteenveto[[#This Row],[Lisäosat yhteensä]]+Yhteenveto[[#This Row],[Valtionosuuteen tehtävät vähennykset ja lisäykset, netto]]</f>
        <v>3164704.4292185642</v>
      </c>
      <c r="M281" s="34">
        <v>4108536.9447159986</v>
      </c>
      <c r="N281" s="303">
        <f>SUM(Yhteenveto[[#This Row],[Valtionosuus ennen verotuloihin perustuvaa valtionosuuden tasausta]]+Yhteenveto[[#This Row],[Verotuloihin perustuva valtionosuuden tasaus]])</f>
        <v>7273241.3739345632</v>
      </c>
      <c r="O281" s="241">
        <v>1489337.3517855837</v>
      </c>
      <c r="P281" s="372">
        <f>SUM(Yhteenveto[[#This Row],[Kunnan  peruspalvelujen valtionosuus ]:[Veroperustemuutoksista johtuvien veromenetysten korvaus]])</f>
        <v>8762578.7257201467</v>
      </c>
      <c r="Q281" s="34">
        <v>-117781.5575</v>
      </c>
      <c r="R281" s="341">
        <f>+Yhteenveto[[#This Row],[Kunnan  peruspalvelujen valtionosuus ]]+Yhteenveto[[#This Row],[Veroperustemuutoksista johtuvien veromenetysten korvaus]]+Yhteenveto[[#This Row],[Kotikuntakorvaus, netto (ei päivitetty)]]</f>
        <v>8644797.1682201475</v>
      </c>
      <c r="S281" s="11"/>
      <c r="T281"/>
    </row>
    <row r="282" spans="1:20" ht="15">
      <c r="A282" s="32">
        <v>915</v>
      </c>
      <c r="B282" s="13" t="s">
        <v>287</v>
      </c>
      <c r="C282" s="15">
        <v>19727</v>
      </c>
      <c r="D282" s="15">
        <v>23474203.330000002</v>
      </c>
      <c r="E282" s="15">
        <v>5651946.2124427743</v>
      </c>
      <c r="F282" s="231">
        <f>Yhteenveto[[#This Row],[Ikärakenne, laskennallinen kustannus]]+Yhteenveto[[#This Row],[Muut laskennalliset kustannukset ]]</f>
        <v>29126149.542442776</v>
      </c>
      <c r="G282" s="508">
        <v>1422.47</v>
      </c>
      <c r="H282" s="17">
        <v>28061065.690000001</v>
      </c>
      <c r="I282" s="339">
        <f>Yhteenveto[[#This Row],[Laskennalliset kustannukset yhteensä]]-Yhteenveto[[#This Row],[Omarahoitusosuus, €]]</f>
        <v>1065083.8524427749</v>
      </c>
      <c r="J282" s="33">
        <v>817444.99424330937</v>
      </c>
      <c r="K282" s="34">
        <v>-1044733.5754503096</v>
      </c>
      <c r="L282" s="231">
        <f>Yhteenveto[[#This Row],[Valtionosuus omarahoitusosuuden jälkeen (välisumma)]]+Yhteenveto[[#This Row],[Lisäosat yhteensä]]+Yhteenveto[[#This Row],[Valtionosuuteen tehtävät vähennykset ja lisäykset, netto]]</f>
        <v>837795.27123577474</v>
      </c>
      <c r="M282" s="34">
        <v>6328574.3365524597</v>
      </c>
      <c r="N282" s="303">
        <f>SUM(Yhteenveto[[#This Row],[Valtionosuus ennen verotuloihin perustuvaa valtionosuuden tasausta]]+Yhteenveto[[#This Row],[Verotuloihin perustuva valtionosuuden tasaus]])</f>
        <v>7166369.6077882349</v>
      </c>
      <c r="O282" s="241">
        <v>2124234.4159958288</v>
      </c>
      <c r="P282" s="372">
        <f>SUM(Yhteenveto[[#This Row],[Kunnan  peruspalvelujen valtionosuus ]:[Veroperustemuutoksista johtuvien veromenetysten korvaus]])</f>
        <v>9290604.0237840638</v>
      </c>
      <c r="Q282" s="34">
        <v>178216.40099999995</v>
      </c>
      <c r="R282" s="341">
        <f>+Yhteenveto[[#This Row],[Kunnan  peruspalvelujen valtionosuus ]]+Yhteenveto[[#This Row],[Veroperustemuutoksista johtuvien veromenetysten korvaus]]+Yhteenveto[[#This Row],[Kotikuntakorvaus, netto (ei päivitetty)]]</f>
        <v>9468820.4247840643</v>
      </c>
      <c r="S282" s="11"/>
      <c r="T282"/>
    </row>
    <row r="283" spans="1:20" ht="15">
      <c r="A283" s="32">
        <v>918</v>
      </c>
      <c r="B283" s="13" t="s">
        <v>288</v>
      </c>
      <c r="C283" s="15">
        <v>2245</v>
      </c>
      <c r="D283" s="15">
        <v>3123466.0400000005</v>
      </c>
      <c r="E283" s="15">
        <v>662789.55006387713</v>
      </c>
      <c r="F283" s="231">
        <f>Yhteenveto[[#This Row],[Ikärakenne, laskennallinen kustannus]]+Yhteenveto[[#This Row],[Muut laskennalliset kustannukset ]]</f>
        <v>3786255.5900638774</v>
      </c>
      <c r="G283" s="508">
        <v>1422.47</v>
      </c>
      <c r="H283" s="17">
        <v>3193445.15</v>
      </c>
      <c r="I283" s="339">
        <f>Yhteenveto[[#This Row],[Laskennalliset kustannukset yhteensä]]-Yhteenveto[[#This Row],[Omarahoitusosuus, €]]</f>
        <v>592810.4400638775</v>
      </c>
      <c r="J283" s="33">
        <v>52848.07145209983</v>
      </c>
      <c r="K283" s="34">
        <v>-293897.96803314408</v>
      </c>
      <c r="L283" s="231">
        <f>Yhteenveto[[#This Row],[Valtionosuus omarahoitusosuuden jälkeen (välisumma)]]+Yhteenveto[[#This Row],[Lisäosat yhteensä]]+Yhteenveto[[#This Row],[Valtionosuuteen tehtävät vähennykset ja lisäykset, netto]]</f>
        <v>351760.54348283325</v>
      </c>
      <c r="M283" s="34">
        <v>1147461.2141997863</v>
      </c>
      <c r="N283" s="303">
        <f>SUM(Yhteenveto[[#This Row],[Valtionosuus ennen verotuloihin perustuvaa valtionosuuden tasausta]]+Yhteenveto[[#This Row],[Verotuloihin perustuva valtionosuuden tasaus]])</f>
        <v>1499221.7576826196</v>
      </c>
      <c r="O283" s="241">
        <v>338478.62908011919</v>
      </c>
      <c r="P283" s="372">
        <f>SUM(Yhteenveto[[#This Row],[Kunnan  peruspalvelujen valtionosuus ]:[Veroperustemuutoksista johtuvien veromenetysten korvaus]])</f>
        <v>1837700.3867627387</v>
      </c>
      <c r="Q283" s="34">
        <v>14291.922999999995</v>
      </c>
      <c r="R283" s="341">
        <f>+Yhteenveto[[#This Row],[Kunnan  peruspalvelujen valtionosuus ]]+Yhteenveto[[#This Row],[Veroperustemuutoksista johtuvien veromenetysten korvaus]]+Yhteenveto[[#This Row],[Kotikuntakorvaus, netto (ei päivitetty)]]</f>
        <v>1851992.3097627386</v>
      </c>
      <c r="S283" s="11"/>
      <c r="T283"/>
    </row>
    <row r="284" spans="1:20" ht="15">
      <c r="A284" s="32">
        <v>921</v>
      </c>
      <c r="B284" s="13" t="s">
        <v>289</v>
      </c>
      <c r="C284" s="15">
        <v>1895</v>
      </c>
      <c r="D284" s="15">
        <v>1775549.42</v>
      </c>
      <c r="E284" s="15">
        <v>697010.0660219132</v>
      </c>
      <c r="F284" s="231">
        <f>Yhteenveto[[#This Row],[Ikärakenne, laskennallinen kustannus]]+Yhteenveto[[#This Row],[Muut laskennalliset kustannukset ]]</f>
        <v>2472559.4860219131</v>
      </c>
      <c r="G284" s="508">
        <v>1422.47</v>
      </c>
      <c r="H284" s="17">
        <v>2695580.65</v>
      </c>
      <c r="I284" s="339">
        <f>Yhteenveto[[#This Row],[Laskennalliset kustannukset yhteensä]]-Yhteenveto[[#This Row],[Omarahoitusosuus, €]]</f>
        <v>-223021.16397808678</v>
      </c>
      <c r="J284" s="33">
        <v>650797.92677000398</v>
      </c>
      <c r="K284" s="34">
        <v>619894.8792643199</v>
      </c>
      <c r="L284" s="231">
        <f>Yhteenveto[[#This Row],[Valtionosuus omarahoitusosuuden jälkeen (välisumma)]]+Yhteenveto[[#This Row],[Lisäosat yhteensä]]+Yhteenveto[[#This Row],[Valtionosuuteen tehtävät vähennykset ja lisäykset, netto]]</f>
        <v>1047671.6420562371</v>
      </c>
      <c r="M284" s="34">
        <v>1221664.9444106137</v>
      </c>
      <c r="N284" s="303">
        <f>SUM(Yhteenveto[[#This Row],[Valtionosuus ennen verotuloihin perustuvaa valtionosuuden tasausta]]+Yhteenveto[[#This Row],[Verotuloihin perustuva valtionosuuden tasaus]])</f>
        <v>2269336.5864668507</v>
      </c>
      <c r="O284" s="241">
        <v>389220.03134215786</v>
      </c>
      <c r="P284" s="372">
        <f>SUM(Yhteenveto[[#This Row],[Kunnan  peruspalvelujen valtionosuus ]:[Veroperustemuutoksista johtuvien veromenetysten korvaus]])</f>
        <v>2658556.6178090088</v>
      </c>
      <c r="Q284" s="34">
        <v>202265.02299999999</v>
      </c>
      <c r="R284" s="341">
        <f>+Yhteenveto[[#This Row],[Kunnan  peruspalvelujen valtionosuus ]]+Yhteenveto[[#This Row],[Veroperustemuutoksista johtuvien veromenetysten korvaus]]+Yhteenveto[[#This Row],[Kotikuntakorvaus, netto (ei päivitetty)]]</f>
        <v>2860821.6408090089</v>
      </c>
      <c r="S284" s="11"/>
      <c r="T284"/>
    </row>
    <row r="285" spans="1:20" ht="15">
      <c r="A285" s="32">
        <v>922</v>
      </c>
      <c r="B285" s="13" t="s">
        <v>290</v>
      </c>
      <c r="C285" s="15">
        <v>4469</v>
      </c>
      <c r="D285" s="15">
        <v>8525012.6600000001</v>
      </c>
      <c r="E285" s="15">
        <v>799067.35806547117</v>
      </c>
      <c r="F285" s="231">
        <f>Yhteenveto[[#This Row],[Ikärakenne, laskennallinen kustannus]]+Yhteenveto[[#This Row],[Muut laskennalliset kustannukset ]]</f>
        <v>9324080.0180654712</v>
      </c>
      <c r="G285" s="508">
        <v>1422.47</v>
      </c>
      <c r="H285" s="17">
        <v>6357018.4299999997</v>
      </c>
      <c r="I285" s="339">
        <f>Yhteenveto[[#This Row],[Laskennalliset kustannukset yhteensä]]-Yhteenveto[[#This Row],[Omarahoitusosuus, €]]</f>
        <v>2967061.5880654715</v>
      </c>
      <c r="J285" s="33">
        <v>167760.95140444016</v>
      </c>
      <c r="K285" s="34">
        <v>-459983.59262947476</v>
      </c>
      <c r="L285" s="231">
        <f>Yhteenveto[[#This Row],[Valtionosuus omarahoitusosuuden jälkeen (välisumma)]]+Yhteenveto[[#This Row],[Lisäosat yhteensä]]+Yhteenveto[[#This Row],[Valtionosuuteen tehtävät vähennykset ja lisäykset, netto]]</f>
        <v>2674838.9468404371</v>
      </c>
      <c r="M285" s="34">
        <v>1136499.5786123308</v>
      </c>
      <c r="N285" s="303">
        <f>SUM(Yhteenveto[[#This Row],[Valtionosuus ennen verotuloihin perustuvaa valtionosuuden tasausta]]+Yhteenveto[[#This Row],[Verotuloihin perustuva valtionosuuden tasaus]])</f>
        <v>3811338.525452768</v>
      </c>
      <c r="O285" s="241">
        <v>375626.87729903229</v>
      </c>
      <c r="P285" s="372">
        <f>SUM(Yhteenveto[[#This Row],[Kunnan  peruspalvelujen valtionosuus ]:[Veroperustemuutoksista johtuvien veromenetysten korvaus]])</f>
        <v>4186965.4027518001</v>
      </c>
      <c r="Q285" s="34">
        <v>-84453.628499999963</v>
      </c>
      <c r="R285" s="341">
        <f>+Yhteenveto[[#This Row],[Kunnan  peruspalvelujen valtionosuus ]]+Yhteenveto[[#This Row],[Veroperustemuutoksista johtuvien veromenetysten korvaus]]+Yhteenveto[[#This Row],[Kotikuntakorvaus, netto (ei päivitetty)]]</f>
        <v>4102511.7742518</v>
      </c>
      <c r="S285" s="11"/>
      <c r="T285"/>
    </row>
    <row r="286" spans="1:20" ht="15">
      <c r="A286" s="32">
        <v>924</v>
      </c>
      <c r="B286" s="13" t="s">
        <v>291</v>
      </c>
      <c r="C286" s="15">
        <v>2936</v>
      </c>
      <c r="D286" s="15">
        <v>4394553.8</v>
      </c>
      <c r="E286" s="15">
        <v>846997.99066366127</v>
      </c>
      <c r="F286" s="231">
        <f>Yhteenveto[[#This Row],[Ikärakenne, laskennallinen kustannus]]+Yhteenveto[[#This Row],[Muut laskennalliset kustannukset ]]</f>
        <v>5241551.7906636614</v>
      </c>
      <c r="G286" s="508">
        <v>1422.47</v>
      </c>
      <c r="H286" s="17">
        <v>4176371.92</v>
      </c>
      <c r="I286" s="339">
        <f>Yhteenveto[[#This Row],[Laskennalliset kustannukset yhteensä]]-Yhteenveto[[#This Row],[Omarahoitusosuus, €]]</f>
        <v>1065179.8706636615</v>
      </c>
      <c r="J286" s="33">
        <v>276291.65818701679</v>
      </c>
      <c r="K286" s="34">
        <v>-70200.173401755397</v>
      </c>
      <c r="L286" s="231">
        <f>Yhteenveto[[#This Row],[Valtionosuus omarahoitusosuuden jälkeen (välisumma)]]+Yhteenveto[[#This Row],[Lisäosat yhteensä]]+Yhteenveto[[#This Row],[Valtionosuuteen tehtävät vähennykset ja lisäykset, netto]]</f>
        <v>1271271.3554489231</v>
      </c>
      <c r="M286" s="34">
        <v>1758195.2716286457</v>
      </c>
      <c r="N286" s="303">
        <f>SUM(Yhteenveto[[#This Row],[Valtionosuus ennen verotuloihin perustuvaa valtionosuuden tasausta]]+Yhteenveto[[#This Row],[Verotuloihin perustuva valtionosuuden tasaus]])</f>
        <v>3029466.6270775688</v>
      </c>
      <c r="O286" s="241">
        <v>494958.58615695836</v>
      </c>
      <c r="P286" s="372">
        <f>SUM(Yhteenveto[[#This Row],[Kunnan  peruspalvelujen valtionosuus ]:[Veroperustemuutoksista johtuvien veromenetysten korvaus]])</f>
        <v>3524425.213234527</v>
      </c>
      <c r="Q286" s="34">
        <v>16410.350000000006</v>
      </c>
      <c r="R286" s="341">
        <f>+Yhteenveto[[#This Row],[Kunnan  peruspalvelujen valtionosuus ]]+Yhteenveto[[#This Row],[Veroperustemuutoksista johtuvien veromenetysten korvaus]]+Yhteenveto[[#This Row],[Kotikuntakorvaus, netto (ei päivitetty)]]</f>
        <v>3540835.5632345271</v>
      </c>
      <c r="S286" s="11"/>
      <c r="T286"/>
    </row>
    <row r="287" spans="1:20" ht="15">
      <c r="A287" s="32">
        <v>925</v>
      </c>
      <c r="B287" s="13" t="s">
        <v>292</v>
      </c>
      <c r="C287" s="15">
        <v>3387</v>
      </c>
      <c r="D287" s="15">
        <v>4800501.3999999994</v>
      </c>
      <c r="E287" s="15">
        <v>1394760.0420248553</v>
      </c>
      <c r="F287" s="231">
        <f>Yhteenveto[[#This Row],[Ikärakenne, laskennallinen kustannus]]+Yhteenveto[[#This Row],[Muut laskennalliset kustannukset ]]</f>
        <v>6195261.4420248549</v>
      </c>
      <c r="G287" s="508">
        <v>1422.47</v>
      </c>
      <c r="H287" s="17">
        <v>4817905.8899999997</v>
      </c>
      <c r="I287" s="339">
        <f>Yhteenveto[[#This Row],[Laskennalliset kustannukset yhteensä]]-Yhteenveto[[#This Row],[Omarahoitusosuus, €]]</f>
        <v>1377355.5520248553</v>
      </c>
      <c r="J287" s="33">
        <v>304606.86566465348</v>
      </c>
      <c r="K287" s="34">
        <v>1853955.6749258055</v>
      </c>
      <c r="L287" s="231">
        <f>Yhteenveto[[#This Row],[Valtionosuus omarahoitusosuuden jälkeen (välisumma)]]+Yhteenveto[[#This Row],[Lisäosat yhteensä]]+Yhteenveto[[#This Row],[Valtionosuuteen tehtävät vähennykset ja lisäykset, netto]]</f>
        <v>3535918.0926153143</v>
      </c>
      <c r="M287" s="34">
        <v>136373.64915331482</v>
      </c>
      <c r="N287" s="303">
        <f>SUM(Yhteenveto[[#This Row],[Valtionosuus ennen verotuloihin perustuvaa valtionosuuden tasausta]]+Yhteenveto[[#This Row],[Verotuloihin perustuva valtionosuuden tasaus]])</f>
        <v>3672291.7417686293</v>
      </c>
      <c r="O287" s="241">
        <v>600169.06017581769</v>
      </c>
      <c r="P287" s="372">
        <f>SUM(Yhteenveto[[#This Row],[Kunnan  peruspalvelujen valtionosuus ]:[Veroperustemuutoksista johtuvien veromenetysten korvaus]])</f>
        <v>4272460.8019444467</v>
      </c>
      <c r="Q287" s="34">
        <v>58182.150000000009</v>
      </c>
      <c r="R287" s="341">
        <f>+Yhteenveto[[#This Row],[Kunnan  peruspalvelujen valtionosuus ]]+Yhteenveto[[#This Row],[Veroperustemuutoksista johtuvien veromenetysten korvaus]]+Yhteenveto[[#This Row],[Kotikuntakorvaus, netto (ei päivitetty)]]</f>
        <v>4330642.9519444471</v>
      </c>
      <c r="S287" s="11"/>
      <c r="T287"/>
    </row>
    <row r="288" spans="1:20" ht="15">
      <c r="A288" s="32">
        <v>927</v>
      </c>
      <c r="B288" s="13" t="s">
        <v>293</v>
      </c>
      <c r="C288" s="15">
        <v>28811</v>
      </c>
      <c r="D288" s="15">
        <v>49422400.950000003</v>
      </c>
      <c r="E288" s="15">
        <v>7555134.5852221772</v>
      </c>
      <c r="F288" s="231">
        <f>Yhteenveto[[#This Row],[Ikärakenne, laskennallinen kustannus]]+Yhteenveto[[#This Row],[Muut laskennalliset kustannukset ]]</f>
        <v>56977535.53522218</v>
      </c>
      <c r="G288" s="508">
        <v>1422.47</v>
      </c>
      <c r="H288" s="17">
        <v>40982783.170000002</v>
      </c>
      <c r="I288" s="339">
        <f>Yhteenveto[[#This Row],[Laskennalliset kustannukset yhteensä]]-Yhteenveto[[#This Row],[Omarahoitusosuus, €]]</f>
        <v>15994752.365222178</v>
      </c>
      <c r="J288" s="33">
        <v>811946.41449150012</v>
      </c>
      <c r="K288" s="34">
        <v>-530511.91744481842</v>
      </c>
      <c r="L288" s="231">
        <f>Yhteenveto[[#This Row],[Valtionosuus omarahoitusosuuden jälkeen (välisumma)]]+Yhteenveto[[#This Row],[Lisäosat yhteensä]]+Yhteenveto[[#This Row],[Valtionosuuteen tehtävät vähennykset ja lisäykset, netto]]</f>
        <v>16276186.862268861</v>
      </c>
      <c r="M288" s="34">
        <v>2683915.2405280662</v>
      </c>
      <c r="N288" s="303">
        <f>SUM(Yhteenveto[[#This Row],[Valtionosuus ennen verotuloihin perustuvaa valtionosuuden tasausta]]+Yhteenveto[[#This Row],[Verotuloihin perustuva valtionosuuden tasaus]])</f>
        <v>18960102.102796927</v>
      </c>
      <c r="O288" s="241">
        <v>2321096.2369446699</v>
      </c>
      <c r="P288" s="372">
        <f>SUM(Yhteenveto[[#This Row],[Kunnan  peruspalvelujen valtionosuus ]:[Veroperustemuutoksista johtuvien veromenetysten korvaus]])</f>
        <v>21281198.339741595</v>
      </c>
      <c r="Q288" s="34">
        <v>-181300.05494999979</v>
      </c>
      <c r="R288" s="341">
        <f>+Yhteenveto[[#This Row],[Kunnan  peruspalvelujen valtionosuus ]]+Yhteenveto[[#This Row],[Veroperustemuutoksista johtuvien veromenetysten korvaus]]+Yhteenveto[[#This Row],[Kotikuntakorvaus, netto (ei päivitetty)]]</f>
        <v>21099898.284791596</v>
      </c>
      <c r="S288" s="11"/>
      <c r="T288"/>
    </row>
    <row r="289" spans="1:20" ht="15">
      <c r="A289" s="32">
        <v>931</v>
      </c>
      <c r="B289" s="13" t="s">
        <v>294</v>
      </c>
      <c r="C289" s="15">
        <v>5877</v>
      </c>
      <c r="D289" s="15">
        <v>6742988.7800000003</v>
      </c>
      <c r="E289" s="15">
        <v>2150483.9236977976</v>
      </c>
      <c r="F289" s="231">
        <f>Yhteenveto[[#This Row],[Ikärakenne, laskennallinen kustannus]]+Yhteenveto[[#This Row],[Muut laskennalliset kustannukset ]]</f>
        <v>8893472.7036977969</v>
      </c>
      <c r="G289" s="508">
        <v>1422.47</v>
      </c>
      <c r="H289" s="17">
        <v>8359856.1900000004</v>
      </c>
      <c r="I289" s="339">
        <f>Yhteenveto[[#This Row],[Laskennalliset kustannukset yhteensä]]-Yhteenveto[[#This Row],[Omarahoitusosuus, €]]</f>
        <v>533616.5136977965</v>
      </c>
      <c r="J289" s="33">
        <v>1014117.1727747065</v>
      </c>
      <c r="K289" s="34">
        <v>3675379.9821567624</v>
      </c>
      <c r="L289" s="231">
        <f>Yhteenveto[[#This Row],[Valtionosuus omarahoitusosuuden jälkeen (välisumma)]]+Yhteenveto[[#This Row],[Lisäosat yhteensä]]+Yhteenveto[[#This Row],[Valtionosuuteen tehtävät vähennykset ja lisäykset, netto]]</f>
        <v>5223113.6686292654</v>
      </c>
      <c r="M289" s="34">
        <v>2174042.4020338748</v>
      </c>
      <c r="N289" s="303">
        <f>SUM(Yhteenveto[[#This Row],[Valtionosuus ennen verotuloihin perustuvaa valtionosuuden tasausta]]+Yhteenveto[[#This Row],[Verotuloihin perustuva valtionosuuden tasaus]])</f>
        <v>7397156.0706631402</v>
      </c>
      <c r="O289" s="241">
        <v>971515.50793684367</v>
      </c>
      <c r="P289" s="372">
        <f>SUM(Yhteenveto[[#This Row],[Kunnan  peruspalvelujen valtionosuus ]:[Veroperustemuutoksista johtuvien veromenetysten korvaus]])</f>
        <v>8368671.5785999838</v>
      </c>
      <c r="Q289" s="34">
        <v>-93091.44</v>
      </c>
      <c r="R289" s="341">
        <f>+Yhteenveto[[#This Row],[Kunnan  peruspalvelujen valtionosuus ]]+Yhteenveto[[#This Row],[Veroperustemuutoksista johtuvien veromenetysten korvaus]]+Yhteenveto[[#This Row],[Kotikuntakorvaus, netto (ei päivitetty)]]</f>
        <v>8275580.1385999834</v>
      </c>
      <c r="S289" s="11"/>
      <c r="T289"/>
    </row>
    <row r="290" spans="1:20" ht="15">
      <c r="A290" s="32">
        <v>934</v>
      </c>
      <c r="B290" s="13" t="s">
        <v>295</v>
      </c>
      <c r="C290" s="15">
        <v>2656</v>
      </c>
      <c r="D290" s="15">
        <v>3511715.33</v>
      </c>
      <c r="E290" s="15">
        <v>620273.37503882346</v>
      </c>
      <c r="F290" s="231">
        <f>Yhteenveto[[#This Row],[Ikärakenne, laskennallinen kustannus]]+Yhteenveto[[#This Row],[Muut laskennalliset kustannukset ]]</f>
        <v>4131988.7050388237</v>
      </c>
      <c r="G290" s="508">
        <v>1422.47</v>
      </c>
      <c r="H290" s="17">
        <v>3778080.3200000003</v>
      </c>
      <c r="I290" s="339">
        <f>Yhteenveto[[#This Row],[Laskennalliset kustannukset yhteensä]]-Yhteenveto[[#This Row],[Omarahoitusosuus, €]]</f>
        <v>353908.38503882335</v>
      </c>
      <c r="J290" s="33">
        <v>187383.0688930731</v>
      </c>
      <c r="K290" s="34">
        <v>219936.48447166139</v>
      </c>
      <c r="L290" s="231">
        <f>Yhteenveto[[#This Row],[Valtionosuus omarahoitusosuuden jälkeen (välisumma)]]+Yhteenveto[[#This Row],[Lisäosat yhteensä]]+Yhteenveto[[#This Row],[Valtionosuuteen tehtävät vähennykset ja lisäykset, netto]]</f>
        <v>761227.93840355787</v>
      </c>
      <c r="M290" s="34">
        <v>1245160.2091562296</v>
      </c>
      <c r="N290" s="303">
        <f>SUM(Yhteenveto[[#This Row],[Valtionosuus ennen verotuloihin perustuvaa valtionosuuden tasausta]]+Yhteenveto[[#This Row],[Verotuloihin perustuva valtionosuuden tasaus]])</f>
        <v>2006388.1475597876</v>
      </c>
      <c r="O290" s="241">
        <v>358435.01403593458</v>
      </c>
      <c r="P290" s="372">
        <f>SUM(Yhteenveto[[#This Row],[Kunnan  peruspalvelujen valtionosuus ]:[Veroperustemuutoksista johtuvien veromenetysten korvaus]])</f>
        <v>2364823.1615957222</v>
      </c>
      <c r="Q290" s="34">
        <v>-2406652.42</v>
      </c>
      <c r="R290" s="341">
        <f>+Yhteenveto[[#This Row],[Kunnan  peruspalvelujen valtionosuus ]]+Yhteenveto[[#This Row],[Veroperustemuutoksista johtuvien veromenetysten korvaus]]+Yhteenveto[[#This Row],[Kotikuntakorvaus, netto (ei päivitetty)]]</f>
        <v>-41829.258404277731</v>
      </c>
      <c r="S290" s="11"/>
      <c r="T290"/>
    </row>
    <row r="291" spans="1:20" ht="15">
      <c r="A291" s="32">
        <v>935</v>
      </c>
      <c r="B291" s="13" t="s">
        <v>296</v>
      </c>
      <c r="C291" s="15">
        <v>2927</v>
      </c>
      <c r="D291" s="15">
        <v>3310464.5900000003</v>
      </c>
      <c r="E291" s="15">
        <v>1170454.7679902411</v>
      </c>
      <c r="F291" s="231">
        <f>Yhteenveto[[#This Row],[Ikärakenne, laskennallinen kustannus]]+Yhteenveto[[#This Row],[Muut laskennalliset kustannukset ]]</f>
        <v>4480919.3579902416</v>
      </c>
      <c r="G291" s="508">
        <v>1422.47</v>
      </c>
      <c r="H291" s="17">
        <v>4163569.69</v>
      </c>
      <c r="I291" s="339">
        <f>Yhteenveto[[#This Row],[Laskennalliset kustannukset yhteensä]]-Yhteenveto[[#This Row],[Omarahoitusosuus, €]]</f>
        <v>317349.66799024167</v>
      </c>
      <c r="J291" s="33">
        <v>202523.88127807039</v>
      </c>
      <c r="K291" s="34">
        <v>-58065.187501192122</v>
      </c>
      <c r="L291" s="231">
        <f>Yhteenveto[[#This Row],[Valtionosuus omarahoitusosuuden jälkeen (välisumma)]]+Yhteenveto[[#This Row],[Lisäosat yhteensä]]+Yhteenveto[[#This Row],[Valtionosuuteen tehtävät vähennykset ja lisäykset, netto]]</f>
        <v>461808.36176711996</v>
      </c>
      <c r="M291" s="34">
        <v>895367.76363711222</v>
      </c>
      <c r="N291" s="303">
        <f>SUM(Yhteenveto[[#This Row],[Valtionosuus ennen verotuloihin perustuvaa valtionosuuden tasausta]]+Yhteenveto[[#This Row],[Verotuloihin perustuva valtionosuuden tasaus]])</f>
        <v>1357176.1254042322</v>
      </c>
      <c r="O291" s="241">
        <v>412831.76197779196</v>
      </c>
      <c r="P291" s="372">
        <f>SUM(Yhteenveto[[#This Row],[Kunnan  peruspalvelujen valtionosuus ]:[Veroperustemuutoksista johtuvien veromenetysten korvaus]])</f>
        <v>1770007.8873820242</v>
      </c>
      <c r="Q291" s="34">
        <v>1262075.2630000003</v>
      </c>
      <c r="R291" s="341">
        <f>+Yhteenveto[[#This Row],[Kunnan  peruspalvelujen valtionosuus ]]+Yhteenveto[[#This Row],[Veroperustemuutoksista johtuvien veromenetysten korvaus]]+Yhteenveto[[#This Row],[Kotikuntakorvaus, netto (ei päivitetty)]]</f>
        <v>3032083.1503820242</v>
      </c>
      <c r="S291" s="11"/>
      <c r="T291"/>
    </row>
    <row r="292" spans="1:20" ht="15">
      <c r="A292" s="32">
        <v>936</v>
      </c>
      <c r="B292" s="13" t="s">
        <v>297</v>
      </c>
      <c r="C292" s="15">
        <v>6275</v>
      </c>
      <c r="D292" s="15">
        <v>7505173.9699999997</v>
      </c>
      <c r="E292" s="15">
        <v>2076845.3124039392</v>
      </c>
      <c r="F292" s="231">
        <f>Yhteenveto[[#This Row],[Ikärakenne, laskennallinen kustannus]]+Yhteenveto[[#This Row],[Muut laskennalliset kustannukset ]]</f>
        <v>9582019.2824039385</v>
      </c>
      <c r="G292" s="508">
        <v>1422.47</v>
      </c>
      <c r="H292" s="17">
        <v>8925999.25</v>
      </c>
      <c r="I292" s="339">
        <f>Yhteenveto[[#This Row],[Laskennalliset kustannukset yhteensä]]-Yhteenveto[[#This Row],[Omarahoitusosuus, €]]</f>
        <v>656020.03240393847</v>
      </c>
      <c r="J292" s="33">
        <v>848369.80674540624</v>
      </c>
      <c r="K292" s="34">
        <v>2423859.180761334</v>
      </c>
      <c r="L292" s="231">
        <f>Yhteenveto[[#This Row],[Valtionosuus omarahoitusosuuden jälkeen (välisumma)]]+Yhteenveto[[#This Row],[Lisäosat yhteensä]]+Yhteenveto[[#This Row],[Valtionosuuteen tehtävät vähennykset ja lisäykset, netto]]</f>
        <v>3928249.0199106787</v>
      </c>
      <c r="M292" s="34">
        <v>2238451.8161144354</v>
      </c>
      <c r="N292" s="303">
        <f>SUM(Yhteenveto[[#This Row],[Valtionosuus ennen verotuloihin perustuvaa valtionosuuden tasausta]]+Yhteenveto[[#This Row],[Verotuloihin perustuva valtionosuuden tasaus]])</f>
        <v>6166700.8360251142</v>
      </c>
      <c r="O292" s="241">
        <v>1051756.2705640229</v>
      </c>
      <c r="P292" s="372">
        <f>SUM(Yhteenveto[[#This Row],[Kunnan  peruspalvelujen valtionosuus ]:[Veroperustemuutoksista johtuvien veromenetysten korvaus]])</f>
        <v>7218457.1065891366</v>
      </c>
      <c r="Q292" s="34">
        <v>87317.980499999976</v>
      </c>
      <c r="R292" s="341">
        <f>+Yhteenveto[[#This Row],[Kunnan  peruspalvelujen valtionosuus ]]+Yhteenveto[[#This Row],[Veroperustemuutoksista johtuvien veromenetysten korvaus]]+Yhteenveto[[#This Row],[Kotikuntakorvaus, netto (ei päivitetty)]]</f>
        <v>7305775.0870891362</v>
      </c>
      <c r="S292" s="11"/>
      <c r="T292"/>
    </row>
    <row r="293" spans="1:20" ht="15">
      <c r="A293" s="32">
        <v>946</v>
      </c>
      <c r="B293" s="13" t="s">
        <v>298</v>
      </c>
      <c r="C293" s="15">
        <v>6291</v>
      </c>
      <c r="D293" s="15">
        <v>10863231.019999998</v>
      </c>
      <c r="E293" s="15">
        <v>3574825.9817923531</v>
      </c>
      <c r="F293" s="231">
        <f>Yhteenveto[[#This Row],[Ikärakenne, laskennallinen kustannus]]+Yhteenveto[[#This Row],[Muut laskennalliset kustannukset ]]</f>
        <v>14438057.001792351</v>
      </c>
      <c r="G293" s="508">
        <v>1422.47</v>
      </c>
      <c r="H293" s="17">
        <v>8948758.7699999996</v>
      </c>
      <c r="I293" s="339">
        <f>Yhteenveto[[#This Row],[Laskennalliset kustannukset yhteensä]]-Yhteenveto[[#This Row],[Omarahoitusosuus, €]]</f>
        <v>5489298.2317923512</v>
      </c>
      <c r="J293" s="33">
        <v>344130.75023300404</v>
      </c>
      <c r="K293" s="34">
        <v>-541988.74476053403</v>
      </c>
      <c r="L293" s="231">
        <f>Yhteenveto[[#This Row],[Valtionosuus omarahoitusosuuden jälkeen (välisumma)]]+Yhteenveto[[#This Row],[Lisäosat yhteensä]]+Yhteenveto[[#This Row],[Valtionosuuteen tehtävät vähennykset ja lisäykset, netto]]</f>
        <v>5291440.2372648213</v>
      </c>
      <c r="M293" s="34">
        <v>2269738.1055550347</v>
      </c>
      <c r="N293" s="303">
        <f>SUM(Yhteenveto[[#This Row],[Valtionosuus ennen verotuloihin perustuvaa valtionosuuden tasausta]]+Yhteenveto[[#This Row],[Verotuloihin perustuva valtionosuuden tasaus]])</f>
        <v>7561178.3428198565</v>
      </c>
      <c r="O293" s="241">
        <v>881411.64529421087</v>
      </c>
      <c r="P293" s="372">
        <f>SUM(Yhteenveto[[#This Row],[Kunnan  peruspalvelujen valtionosuus ]:[Veroperustemuutoksista johtuvien veromenetysten korvaus]])</f>
        <v>8442589.9881140664</v>
      </c>
      <c r="Q293" s="34">
        <v>-157792.97450000001</v>
      </c>
      <c r="R293" s="341">
        <f>+Yhteenveto[[#This Row],[Kunnan  peruspalvelujen valtionosuus ]]+Yhteenveto[[#This Row],[Veroperustemuutoksista johtuvien veromenetysten korvaus]]+Yhteenveto[[#This Row],[Kotikuntakorvaus, netto (ei päivitetty)]]</f>
        <v>8284797.0136140659</v>
      </c>
      <c r="S293" s="11"/>
      <c r="T293"/>
    </row>
    <row r="294" spans="1:20" ht="15">
      <c r="A294" s="32">
        <v>976</v>
      </c>
      <c r="B294" s="13" t="s">
        <v>299</v>
      </c>
      <c r="C294" s="15">
        <v>3765</v>
      </c>
      <c r="D294" s="15">
        <v>4134431.3899999997</v>
      </c>
      <c r="E294" s="15">
        <v>2461017.685496306</v>
      </c>
      <c r="F294" s="231">
        <f>Yhteenveto[[#This Row],[Ikärakenne, laskennallinen kustannus]]+Yhteenveto[[#This Row],[Muut laskennalliset kustannukset ]]</f>
        <v>6595449.0754963057</v>
      </c>
      <c r="G294" s="508">
        <v>1422.47</v>
      </c>
      <c r="H294" s="17">
        <v>5355599.55</v>
      </c>
      <c r="I294" s="339">
        <f>Yhteenveto[[#This Row],[Laskennalliset kustannukset yhteensä]]-Yhteenveto[[#This Row],[Omarahoitusosuus, €]]</f>
        <v>1239849.5254963059</v>
      </c>
      <c r="J294" s="33">
        <v>1374438.8357114787</v>
      </c>
      <c r="K294" s="34">
        <v>-251739.31174809282</v>
      </c>
      <c r="L294" s="231">
        <f>Yhteenveto[[#This Row],[Valtionosuus omarahoitusosuuden jälkeen (välisumma)]]+Yhteenveto[[#This Row],[Lisäosat yhteensä]]+Yhteenveto[[#This Row],[Valtionosuuteen tehtävät vähennykset ja lisäykset, netto]]</f>
        <v>2362549.0494596916</v>
      </c>
      <c r="M294" s="34">
        <v>2063048.2327968942</v>
      </c>
      <c r="N294" s="303">
        <f>SUM(Yhteenveto[[#This Row],[Valtionosuus ennen verotuloihin perustuvaa valtionosuuden tasausta]]+Yhteenveto[[#This Row],[Verotuloihin perustuva valtionosuuden tasaus]])</f>
        <v>4425597.2822565855</v>
      </c>
      <c r="O294" s="241">
        <v>619966.16506514908</v>
      </c>
      <c r="P294" s="372">
        <f>SUM(Yhteenveto[[#This Row],[Kunnan  peruspalvelujen valtionosuus ]:[Veroperustemuutoksista johtuvien veromenetysten korvaus]])</f>
        <v>5045563.4473217344</v>
      </c>
      <c r="Q294" s="34">
        <v>-46307.024000000019</v>
      </c>
      <c r="R294" s="341">
        <f>+Yhteenveto[[#This Row],[Kunnan  peruspalvelujen valtionosuus ]]+Yhteenveto[[#This Row],[Veroperustemuutoksista johtuvien veromenetysten korvaus]]+Yhteenveto[[#This Row],[Kotikuntakorvaus, netto (ei päivitetty)]]</f>
        <v>4999256.4233217342</v>
      </c>
      <c r="S294" s="11"/>
      <c r="T294"/>
    </row>
    <row r="295" spans="1:20" ht="15">
      <c r="A295" s="32">
        <v>977</v>
      </c>
      <c r="B295" s="13" t="s">
        <v>300</v>
      </c>
      <c r="C295" s="15">
        <v>15369</v>
      </c>
      <c r="D295" s="15">
        <v>29995202.5</v>
      </c>
      <c r="E295" s="15">
        <v>2857265.9829567866</v>
      </c>
      <c r="F295" s="231">
        <f>Yhteenveto[[#This Row],[Ikärakenne, laskennallinen kustannus]]+Yhteenveto[[#This Row],[Muut laskennalliset kustannukset ]]</f>
        <v>32852468.482956786</v>
      </c>
      <c r="G295" s="508">
        <v>1422.47</v>
      </c>
      <c r="H295" s="17">
        <v>21861941.43</v>
      </c>
      <c r="I295" s="339">
        <f>Yhteenveto[[#This Row],[Laskennalliset kustannukset yhteensä]]-Yhteenveto[[#This Row],[Omarahoitusosuus, €]]</f>
        <v>10990527.052956786</v>
      </c>
      <c r="J295" s="33">
        <v>540727.06006066094</v>
      </c>
      <c r="K295" s="34">
        <v>-2326258.7582924496</v>
      </c>
      <c r="L295" s="231">
        <f>Yhteenveto[[#This Row],[Valtionosuus omarahoitusosuuden jälkeen (välisumma)]]+Yhteenveto[[#This Row],[Lisäosat yhteensä]]+Yhteenveto[[#This Row],[Valtionosuuteen tehtävät vähennykset ja lisäykset, netto]]</f>
        <v>9204995.3547249977</v>
      </c>
      <c r="M295" s="34">
        <v>6193654.7089189263</v>
      </c>
      <c r="N295" s="303">
        <f>SUM(Yhteenveto[[#This Row],[Valtionosuus ennen verotuloihin perustuvaa valtionosuuden tasausta]]+Yhteenveto[[#This Row],[Verotuloihin perustuva valtionosuuden tasaus]])</f>
        <v>15398650.063643925</v>
      </c>
      <c r="O295" s="241">
        <v>1100911.4273978262</v>
      </c>
      <c r="P295" s="372">
        <f>SUM(Yhteenveto[[#This Row],[Kunnan  peruspalvelujen valtionosuus ]:[Veroperustemuutoksista johtuvien veromenetysten korvaus]])</f>
        <v>16499561.491041752</v>
      </c>
      <c r="Q295" s="34">
        <v>202145.67499999999</v>
      </c>
      <c r="R295" s="341">
        <f>+Yhteenveto[[#This Row],[Kunnan  peruspalvelujen valtionosuus ]]+Yhteenveto[[#This Row],[Veroperustemuutoksista johtuvien veromenetysten korvaus]]+Yhteenveto[[#This Row],[Kotikuntakorvaus, netto (ei päivitetty)]]</f>
        <v>16701707.166041752</v>
      </c>
      <c r="S295" s="11"/>
      <c r="T295"/>
    </row>
    <row r="296" spans="1:20" ht="15">
      <c r="A296" s="32">
        <v>980</v>
      </c>
      <c r="B296" s="13" t="s">
        <v>301</v>
      </c>
      <c r="C296" s="15">
        <v>33677</v>
      </c>
      <c r="D296" s="15">
        <v>65744024.099999994</v>
      </c>
      <c r="E296" s="15">
        <v>5971192.9455164317</v>
      </c>
      <c r="F296" s="231">
        <f>Yhteenveto[[#This Row],[Ikärakenne, laskennallinen kustannus]]+Yhteenveto[[#This Row],[Muut laskennalliset kustannukset ]]</f>
        <v>71715217.045516431</v>
      </c>
      <c r="G296" s="508">
        <v>1422.47</v>
      </c>
      <c r="H296" s="17">
        <v>47904522.189999998</v>
      </c>
      <c r="I296" s="339">
        <f>Yhteenveto[[#This Row],[Laskennalliset kustannukset yhteensä]]-Yhteenveto[[#This Row],[Omarahoitusosuus, €]]</f>
        <v>23810694.855516434</v>
      </c>
      <c r="J296" s="33">
        <v>1090975.5148633148</v>
      </c>
      <c r="K296" s="34">
        <v>-2269870.4114651103</v>
      </c>
      <c r="L296" s="231">
        <f>Yhteenveto[[#This Row],[Valtionosuus omarahoitusosuuden jälkeen (välisumma)]]+Yhteenveto[[#This Row],[Lisäosat yhteensä]]+Yhteenveto[[#This Row],[Valtionosuuteen tehtävät vähennykset ja lisäykset, netto]]</f>
        <v>22631799.958914638</v>
      </c>
      <c r="M296" s="34">
        <v>5195869.3500883533</v>
      </c>
      <c r="N296" s="303">
        <f>SUM(Yhteenveto[[#This Row],[Valtionosuus ennen verotuloihin perustuvaa valtionosuuden tasausta]]+Yhteenveto[[#This Row],[Verotuloihin perustuva valtionosuuden tasaus]])</f>
        <v>27827669.309002992</v>
      </c>
      <c r="O296" s="241">
        <v>2023554.5867380355</v>
      </c>
      <c r="P296" s="372">
        <f>SUM(Yhteenveto[[#This Row],[Kunnan  peruspalvelujen valtionosuus ]:[Veroperustemuutoksista johtuvien veromenetysten korvaus]])</f>
        <v>29851223.895741027</v>
      </c>
      <c r="Q296" s="34">
        <v>-813183.56540000043</v>
      </c>
      <c r="R296" s="341">
        <f>+Yhteenveto[[#This Row],[Kunnan  peruspalvelujen valtionosuus ]]+Yhteenveto[[#This Row],[Veroperustemuutoksista johtuvien veromenetysten korvaus]]+Yhteenveto[[#This Row],[Kotikuntakorvaus, netto (ei päivitetty)]]</f>
        <v>29038040.330341026</v>
      </c>
      <c r="S296" s="11"/>
      <c r="T296"/>
    </row>
    <row r="297" spans="1:20" ht="15">
      <c r="A297" s="32">
        <v>981</v>
      </c>
      <c r="B297" s="13" t="s">
        <v>302</v>
      </c>
      <c r="C297" s="15">
        <v>2207</v>
      </c>
      <c r="D297" s="15">
        <v>2617218.73</v>
      </c>
      <c r="E297" s="15">
        <v>501867.2373458498</v>
      </c>
      <c r="F297" s="231">
        <f>Yhteenveto[[#This Row],[Ikärakenne, laskennallinen kustannus]]+Yhteenveto[[#This Row],[Muut laskennalliset kustannukset ]]</f>
        <v>3119085.9673458496</v>
      </c>
      <c r="G297" s="508">
        <v>1422.47</v>
      </c>
      <c r="H297" s="17">
        <v>3139391.29</v>
      </c>
      <c r="I297" s="339">
        <f>Yhteenveto[[#This Row],[Laskennalliset kustannukset yhteensä]]-Yhteenveto[[#This Row],[Omarahoitusosuus, €]]</f>
        <v>-20305.322654150426</v>
      </c>
      <c r="J297" s="33">
        <v>48693.764693199919</v>
      </c>
      <c r="K297" s="34">
        <v>860578.7995075197</v>
      </c>
      <c r="L297" s="231">
        <f>Yhteenveto[[#This Row],[Valtionosuus omarahoitusosuuden jälkeen (välisumma)]]+Yhteenveto[[#This Row],[Lisäosat yhteensä]]+Yhteenveto[[#This Row],[Valtionosuuteen tehtävät vähennykset ja lisäykset, netto]]</f>
        <v>888967.24154656916</v>
      </c>
      <c r="M297" s="34">
        <v>1222968.8384297627</v>
      </c>
      <c r="N297" s="303">
        <f>SUM(Yhteenveto[[#This Row],[Valtionosuus ennen verotuloihin perustuvaa valtionosuuden tasausta]]+Yhteenveto[[#This Row],[Verotuloihin perustuva valtionosuuden tasaus]])</f>
        <v>2111936.0799763319</v>
      </c>
      <c r="O297" s="241">
        <v>340643.57451163291</v>
      </c>
      <c r="P297" s="372">
        <f>SUM(Yhteenveto[[#This Row],[Kunnan  peruspalvelujen valtionosuus ]:[Veroperustemuutoksista johtuvien veromenetysten korvaus]])</f>
        <v>2452579.6544879647</v>
      </c>
      <c r="Q297" s="34">
        <v>-52214.75</v>
      </c>
      <c r="R297" s="341">
        <f>+Yhteenveto[[#This Row],[Kunnan  peruspalvelujen valtionosuus ]]+Yhteenveto[[#This Row],[Veroperustemuutoksista johtuvien veromenetysten korvaus]]+Yhteenveto[[#This Row],[Kotikuntakorvaus, netto (ei päivitetty)]]</f>
        <v>2400364.9044879647</v>
      </c>
      <c r="S297" s="11"/>
      <c r="T297"/>
    </row>
    <row r="298" spans="1:20" ht="15">
      <c r="A298" s="32">
        <v>989</v>
      </c>
      <c r="B298" s="13" t="s">
        <v>303</v>
      </c>
      <c r="C298" s="15">
        <v>5316</v>
      </c>
      <c r="D298" s="15">
        <v>7123039.1299999999</v>
      </c>
      <c r="E298" s="15">
        <v>1621492.5672466704</v>
      </c>
      <c r="F298" s="231">
        <f>Yhteenveto[[#This Row],[Ikärakenne, laskennallinen kustannus]]+Yhteenveto[[#This Row],[Muut laskennalliset kustannukset ]]</f>
        <v>8744531.6972466707</v>
      </c>
      <c r="G298" s="508">
        <v>1422.47</v>
      </c>
      <c r="H298" s="17">
        <v>7561850.5200000005</v>
      </c>
      <c r="I298" s="339">
        <f>Yhteenveto[[#This Row],[Laskennalliset kustannukset yhteensä]]-Yhteenveto[[#This Row],[Omarahoitusosuus, €]]</f>
        <v>1182681.1772466702</v>
      </c>
      <c r="J298" s="33">
        <v>490239.1046060712</v>
      </c>
      <c r="K298" s="34">
        <v>-1744067.2360214498</v>
      </c>
      <c r="L298" s="231">
        <f>Yhteenveto[[#This Row],[Valtionosuus omarahoitusosuuden jälkeen (välisumma)]]+Yhteenveto[[#This Row],[Lisäosat yhteensä]]+Yhteenveto[[#This Row],[Valtionosuuteen tehtävät vähennykset ja lisäykset, netto]]</f>
        <v>-71146.954168708296</v>
      </c>
      <c r="M298" s="34">
        <v>2135081.8562309435</v>
      </c>
      <c r="N298" s="303">
        <f>SUM(Yhteenveto[[#This Row],[Valtionosuus ennen verotuloihin perustuvaa valtionosuuden tasausta]]+Yhteenveto[[#This Row],[Verotuloihin perustuva valtionosuuden tasaus]])</f>
        <v>2063934.9020622352</v>
      </c>
      <c r="O298" s="241">
        <v>757204.2646227493</v>
      </c>
      <c r="P298" s="372">
        <f>SUM(Yhteenveto[[#This Row],[Kunnan  peruspalvelujen valtionosuus ]:[Veroperustemuutoksista johtuvien veromenetysten korvaus]])</f>
        <v>2821139.1666849842</v>
      </c>
      <c r="Q298" s="34">
        <v>107338.60750000003</v>
      </c>
      <c r="R298" s="341">
        <f>+Yhteenveto[[#This Row],[Kunnan  peruspalvelujen valtionosuus ]]+Yhteenveto[[#This Row],[Veroperustemuutoksista johtuvien veromenetysten korvaus]]+Yhteenveto[[#This Row],[Kotikuntakorvaus, netto (ei päivitetty)]]</f>
        <v>2928477.7741849842</v>
      </c>
      <c r="S298" s="11"/>
      <c r="T298"/>
    </row>
    <row r="299" spans="1:20" ht="15">
      <c r="A299" s="32">
        <v>992</v>
      </c>
      <c r="B299" s="13" t="s">
        <v>304</v>
      </c>
      <c r="C299" s="15">
        <v>17971</v>
      </c>
      <c r="D299" s="15">
        <v>26182270.809999999</v>
      </c>
      <c r="E299" s="15">
        <v>5026598.2545211492</v>
      </c>
      <c r="F299" s="231">
        <f>Yhteenveto[[#This Row],[Ikärakenne, laskennallinen kustannus]]+Yhteenveto[[#This Row],[Muut laskennalliset kustannukset ]]</f>
        <v>31208869.064521149</v>
      </c>
      <c r="G299" s="508">
        <v>1422.47</v>
      </c>
      <c r="H299" s="17">
        <v>25563208.370000001</v>
      </c>
      <c r="I299" s="339">
        <f>Yhteenveto[[#This Row],[Laskennalliset kustannukset yhteensä]]-Yhteenveto[[#This Row],[Omarahoitusosuus, €]]</f>
        <v>5645660.6945211478</v>
      </c>
      <c r="J299" s="33">
        <v>552606.44364389451</v>
      </c>
      <c r="K299" s="34">
        <v>-346283.59981314954</v>
      </c>
      <c r="L299" s="231">
        <f>Yhteenveto[[#This Row],[Valtionosuus omarahoitusosuuden jälkeen (välisumma)]]+Yhteenveto[[#This Row],[Lisäosat yhteensä]]+Yhteenveto[[#This Row],[Valtionosuuteen tehtävät vähennykset ja lisäykset, netto]]</f>
        <v>5851983.5383518925</v>
      </c>
      <c r="M299" s="34">
        <v>4329658.4999834849</v>
      </c>
      <c r="N299" s="303">
        <f>SUM(Yhteenveto[[#This Row],[Valtionosuus ennen verotuloihin perustuvaa valtionosuuden tasausta]]+Yhteenveto[[#This Row],[Verotuloihin perustuva valtionosuuden tasaus]])</f>
        <v>10181642.038335377</v>
      </c>
      <c r="O299" s="241">
        <v>1695940.2900376671</v>
      </c>
      <c r="P299" s="372">
        <f>SUM(Yhteenveto[[#This Row],[Kunnan  peruspalvelujen valtionosuus ]:[Veroperustemuutoksista johtuvien veromenetysten korvaus]])</f>
        <v>11877582.328373045</v>
      </c>
      <c r="Q299" s="34">
        <v>-173621.50299999997</v>
      </c>
      <c r="R299" s="341">
        <f>+Yhteenveto[[#This Row],[Kunnan  peruspalvelujen valtionosuus ]]+Yhteenveto[[#This Row],[Veroperustemuutoksista johtuvien veromenetysten korvaus]]+Yhteenveto[[#This Row],[Kotikuntakorvaus, netto (ei päivitetty)]]</f>
        <v>11703960.825373044</v>
      </c>
      <c r="S299" s="11"/>
      <c r="T299"/>
    </row>
    <row r="300" spans="1:20" ht="15">
      <c r="A300" s="443" t="s">
        <v>760</v>
      </c>
      <c r="B300" s="445" t="s">
        <v>305</v>
      </c>
      <c r="C300" s="15"/>
      <c r="D300" s="15"/>
      <c r="E300" s="15"/>
      <c r="F300" s="15"/>
      <c r="G300" s="16"/>
      <c r="H300" s="17"/>
      <c r="I300" s="17"/>
      <c r="J300" s="33"/>
      <c r="K300" s="15"/>
      <c r="L300" s="14"/>
      <c r="M300" s="34"/>
      <c r="N300" s="303"/>
      <c r="O300" s="303"/>
      <c r="P300" s="34"/>
      <c r="Q300" s="34">
        <v>1660588.67377282</v>
      </c>
      <c r="R300" s="341">
        <f>+Yhteenveto[[#This Row],[Kunnan  peruspalvelujen valtionosuus ]]+Yhteenveto[[#This Row],[Veroperustemuutoksista johtuvien veromenetysten korvaus]]+Yhteenveto[[#This Row],[Kotikuntakorvaus, netto (ei päivitetty)]]</f>
        <v>1660588.67377282</v>
      </c>
      <c r="S300" s="11"/>
      <c r="T300"/>
    </row>
    <row r="301" spans="1:20" ht="15">
      <c r="A301" s="444" t="s">
        <v>761</v>
      </c>
      <c r="B301" s="253" t="s">
        <v>306</v>
      </c>
      <c r="C301" s="37"/>
      <c r="D301" s="37"/>
      <c r="E301" s="37"/>
      <c r="F301" s="15"/>
      <c r="G301" s="16"/>
      <c r="H301" s="17"/>
      <c r="I301" s="17"/>
      <c r="J301" s="15"/>
      <c r="K301" s="15"/>
      <c r="L301" s="18"/>
      <c r="M301" s="15"/>
      <c r="N301" s="303"/>
      <c r="O301" s="303"/>
      <c r="P301" s="34"/>
      <c r="Q301" s="34">
        <v>2390909.4640160026</v>
      </c>
      <c r="R301" s="341">
        <f>+Yhteenveto[[#This Row],[Kunnan  peruspalvelujen valtionosuus ]]+Yhteenveto[[#This Row],[Veroperustemuutoksista johtuvien veromenetysten korvaus]]+Yhteenveto[[#This Row],[Kotikuntakorvaus, netto (ei päivitetty)]]</f>
        <v>2390909.4640160026</v>
      </c>
      <c r="S301" s="11"/>
      <c r="T301"/>
    </row>
    <row r="302" spans="1:20" ht="15">
      <c r="A302" s="444" t="s">
        <v>762</v>
      </c>
      <c r="B302" s="253" t="s">
        <v>307</v>
      </c>
      <c r="C302" s="37"/>
      <c r="D302" s="37"/>
      <c r="E302" s="37"/>
      <c r="F302" s="15"/>
      <c r="G302" s="16"/>
      <c r="H302" s="17"/>
      <c r="I302" s="17"/>
      <c r="J302" s="15"/>
      <c r="K302" s="15"/>
      <c r="L302" s="18"/>
      <c r="M302" s="15"/>
      <c r="N302" s="303"/>
      <c r="O302" s="303"/>
      <c r="P302" s="34"/>
      <c r="Q302" s="34">
        <v>997986.02048301999</v>
      </c>
      <c r="R302" s="341">
        <f>+Yhteenveto[[#This Row],[Kunnan  peruspalvelujen valtionosuus ]]+Yhteenveto[[#This Row],[Veroperustemuutoksista johtuvien veromenetysten korvaus]]+Yhteenveto[[#This Row],[Kotikuntakorvaus, netto (ei päivitetty)]]</f>
        <v>997986.02048301999</v>
      </c>
      <c r="S302" s="11"/>
      <c r="T302"/>
    </row>
    <row r="303" spans="1:20" ht="15">
      <c r="A303" s="444" t="s">
        <v>763</v>
      </c>
      <c r="B303" s="253" t="s">
        <v>308</v>
      </c>
      <c r="C303" s="37"/>
      <c r="D303" s="37"/>
      <c r="E303" s="37"/>
      <c r="F303" s="15"/>
      <c r="G303" s="16"/>
      <c r="H303" s="17"/>
      <c r="I303" s="17"/>
      <c r="J303" s="15"/>
      <c r="K303" s="15"/>
      <c r="L303" s="18"/>
      <c r="M303" s="15"/>
      <c r="N303" s="303"/>
      <c r="O303" s="303"/>
      <c r="P303" s="34"/>
      <c r="Q303" s="34">
        <v>2481443.2918912396</v>
      </c>
      <c r="R303" s="341">
        <f>+Yhteenveto[[#This Row],[Kunnan  peruspalvelujen valtionosuus ]]+Yhteenveto[[#This Row],[Veroperustemuutoksista johtuvien veromenetysten korvaus]]+Yhteenveto[[#This Row],[Kotikuntakorvaus, netto (ei päivitetty)]]</f>
        <v>2481443.2918912396</v>
      </c>
      <c r="S303" s="11"/>
      <c r="T303"/>
    </row>
    <row r="304" spans="1:20" ht="15">
      <c r="A304" s="444" t="s">
        <v>764</v>
      </c>
      <c r="B304" s="253" t="s">
        <v>309</v>
      </c>
      <c r="C304" s="37"/>
      <c r="D304" s="37"/>
      <c r="E304" s="37"/>
      <c r="F304" s="15"/>
      <c r="G304" s="16"/>
      <c r="H304" s="17"/>
      <c r="I304" s="17"/>
      <c r="J304" s="15"/>
      <c r="K304" s="15"/>
      <c r="L304" s="18"/>
      <c r="M304" s="15"/>
      <c r="N304" s="303"/>
      <c r="O304" s="303"/>
      <c r="P304" s="34"/>
      <c r="Q304" s="34">
        <v>5129533.7023602063</v>
      </c>
      <c r="R304" s="341">
        <f>+Yhteenveto[[#This Row],[Kunnan  peruspalvelujen valtionosuus ]]+Yhteenveto[[#This Row],[Veroperustemuutoksista johtuvien veromenetysten korvaus]]+Yhteenveto[[#This Row],[Kotikuntakorvaus, netto (ei päivitetty)]]</f>
        <v>5129533.7023602063</v>
      </c>
      <c r="S304" s="11"/>
      <c r="T304"/>
    </row>
    <row r="305" spans="1:20" ht="15">
      <c r="A305" s="444" t="s">
        <v>765</v>
      </c>
      <c r="B305" s="253" t="s">
        <v>310</v>
      </c>
      <c r="C305" s="37"/>
      <c r="D305" s="37"/>
      <c r="E305" s="37"/>
      <c r="F305" s="15"/>
      <c r="G305" s="16"/>
      <c r="H305" s="17"/>
      <c r="I305" s="17"/>
      <c r="J305" s="15"/>
      <c r="K305" s="15"/>
      <c r="L305" s="18"/>
      <c r="M305" s="15"/>
      <c r="N305" s="303"/>
      <c r="O305" s="303"/>
      <c r="P305" s="34"/>
      <c r="Q305" s="34">
        <v>4462545.0422883993</v>
      </c>
      <c r="R305" s="341">
        <f>+Yhteenveto[[#This Row],[Kunnan  peruspalvelujen valtionosuus ]]+Yhteenveto[[#This Row],[Veroperustemuutoksista johtuvien veromenetysten korvaus]]+Yhteenveto[[#This Row],[Kotikuntakorvaus, netto (ei päivitetty)]]</f>
        <v>4462545.0422883993</v>
      </c>
      <c r="S305" s="11"/>
      <c r="T305"/>
    </row>
    <row r="306" spans="1:20" ht="15">
      <c r="A306" s="444" t="s">
        <v>766</v>
      </c>
      <c r="B306" s="253" t="s">
        <v>311</v>
      </c>
      <c r="C306" s="37"/>
      <c r="D306" s="37"/>
      <c r="E306" s="37"/>
      <c r="F306" s="15"/>
      <c r="G306" s="16"/>
      <c r="H306" s="17"/>
      <c r="I306" s="17"/>
      <c r="J306" s="15"/>
      <c r="K306" s="15"/>
      <c r="L306" s="18"/>
      <c r="M306" s="15"/>
      <c r="N306" s="303"/>
      <c r="O306" s="303"/>
      <c r="P306" s="34"/>
      <c r="Q306" s="34">
        <v>1206899.02425954</v>
      </c>
      <c r="R306" s="341">
        <f>+Yhteenveto[[#This Row],[Kunnan  peruspalvelujen valtionosuus ]]+Yhteenveto[[#This Row],[Veroperustemuutoksista johtuvien veromenetysten korvaus]]+Yhteenveto[[#This Row],[Kotikuntakorvaus, netto (ei päivitetty)]]</f>
        <v>1206899.02425954</v>
      </c>
      <c r="S306" s="11"/>
      <c r="T306"/>
    </row>
    <row r="307" spans="1:20" ht="15">
      <c r="A307" s="444" t="s">
        <v>767</v>
      </c>
      <c r="B307" s="253" t="s">
        <v>312</v>
      </c>
      <c r="C307" s="37"/>
      <c r="D307" s="37"/>
      <c r="E307" s="37"/>
      <c r="F307" s="15"/>
      <c r="G307" s="16"/>
      <c r="H307" s="17"/>
      <c r="I307" s="17"/>
      <c r="J307" s="15"/>
      <c r="K307" s="15"/>
      <c r="L307" s="18"/>
      <c r="M307" s="15"/>
      <c r="N307" s="303"/>
      <c r="O307" s="303"/>
      <c r="P307" s="34"/>
      <c r="Q307" s="34">
        <v>3032372.9787520003</v>
      </c>
      <c r="R307" s="341">
        <f>+Yhteenveto[[#This Row],[Kunnan  peruspalvelujen valtionosuus ]]+Yhteenveto[[#This Row],[Veroperustemuutoksista johtuvien veromenetysten korvaus]]+Yhteenveto[[#This Row],[Kotikuntakorvaus, netto (ei päivitetty)]]</f>
        <v>3032372.9787520003</v>
      </c>
      <c r="S307" s="11"/>
      <c r="T307"/>
    </row>
    <row r="308" spans="1:20" ht="15">
      <c r="A308" s="444" t="s">
        <v>768</v>
      </c>
      <c r="B308" s="253" t="s">
        <v>313</v>
      </c>
      <c r="C308" s="37"/>
      <c r="D308" s="37"/>
      <c r="E308" s="37"/>
      <c r="F308" s="15"/>
      <c r="G308" s="16"/>
      <c r="H308" s="17"/>
      <c r="I308" s="17"/>
      <c r="J308" s="15"/>
      <c r="K308" s="15"/>
      <c r="L308" s="18"/>
      <c r="M308" s="15"/>
      <c r="N308" s="303"/>
      <c r="O308" s="303"/>
      <c r="P308" s="34"/>
      <c r="Q308" s="34">
        <v>6615821.4315272011</v>
      </c>
      <c r="R308" s="341">
        <f>+Yhteenveto[[#This Row],[Kunnan  peruspalvelujen valtionosuus ]]+Yhteenveto[[#This Row],[Veroperustemuutoksista johtuvien veromenetysten korvaus]]+Yhteenveto[[#This Row],[Kotikuntakorvaus, netto (ei päivitetty)]]</f>
        <v>6615821.4315272011</v>
      </c>
      <c r="S308" s="11"/>
      <c r="T308"/>
    </row>
    <row r="309" spans="1:20" ht="15">
      <c r="A309" s="444" t="s">
        <v>769</v>
      </c>
      <c r="B309" s="253" t="s">
        <v>314</v>
      </c>
      <c r="C309" s="37"/>
      <c r="D309" s="37"/>
      <c r="E309" s="37"/>
      <c r="F309" s="15"/>
      <c r="G309" s="16"/>
      <c r="H309" s="17"/>
      <c r="I309" s="17"/>
      <c r="J309" s="15"/>
      <c r="K309" s="15"/>
      <c r="L309" s="18"/>
      <c r="M309" s="15"/>
      <c r="N309" s="303"/>
      <c r="O309" s="303"/>
      <c r="P309" s="34"/>
      <c r="Q309" s="34">
        <v>5621552.9836864006</v>
      </c>
      <c r="R309" s="341">
        <f>+Yhteenveto[[#This Row],[Kunnan  peruspalvelujen valtionosuus ]]+Yhteenveto[[#This Row],[Veroperustemuutoksista johtuvien veromenetysten korvaus]]+Yhteenveto[[#This Row],[Kotikuntakorvaus, netto (ei päivitetty)]]</f>
        <v>5621552.9836864006</v>
      </c>
      <c r="S309" s="11"/>
      <c r="T309"/>
    </row>
    <row r="310" spans="1:20" ht="15">
      <c r="A310" s="444" t="s">
        <v>770</v>
      </c>
      <c r="B310" s="253" t="s">
        <v>315</v>
      </c>
      <c r="C310" s="37"/>
      <c r="D310" s="37"/>
      <c r="E310" s="37"/>
      <c r="F310" s="15"/>
      <c r="G310" s="16"/>
      <c r="H310" s="17"/>
      <c r="I310" s="17"/>
      <c r="J310" s="15"/>
      <c r="K310" s="15"/>
      <c r="L310" s="18"/>
      <c r="M310" s="15"/>
      <c r="N310" s="303"/>
      <c r="O310" s="303"/>
      <c r="P310" s="34"/>
      <c r="Q310" s="34">
        <v>4466918.6571616009</v>
      </c>
      <c r="R310" s="341">
        <f>+Yhteenveto[[#This Row],[Kunnan  peruspalvelujen valtionosuus ]]+Yhteenveto[[#This Row],[Veroperustemuutoksista johtuvien veromenetysten korvaus]]+Yhteenveto[[#This Row],[Kotikuntakorvaus, netto (ei päivitetty)]]</f>
        <v>4466918.6571616009</v>
      </c>
      <c r="S310" s="11"/>
      <c r="T310"/>
    </row>
    <row r="311" spans="1:20" ht="15">
      <c r="A311" s="444" t="s">
        <v>771</v>
      </c>
      <c r="B311" s="253" t="s">
        <v>316</v>
      </c>
      <c r="C311" s="37"/>
      <c r="D311" s="37"/>
      <c r="E311" s="37"/>
      <c r="F311" s="15"/>
      <c r="G311" s="16"/>
      <c r="H311" s="17"/>
      <c r="I311" s="17"/>
      <c r="J311" s="15"/>
      <c r="K311" s="15"/>
      <c r="L311" s="18"/>
      <c r="M311" s="15"/>
      <c r="N311" s="303"/>
      <c r="O311" s="303"/>
      <c r="P311" s="34"/>
      <c r="Q311" s="34">
        <v>4917400.9891012013</v>
      </c>
      <c r="R311" s="341">
        <f>+Yhteenveto[[#This Row],[Kunnan  peruspalvelujen valtionosuus ]]+Yhteenveto[[#This Row],[Veroperustemuutoksista johtuvien veromenetysten korvaus]]+Yhteenveto[[#This Row],[Kotikuntakorvaus, netto (ei päivitetty)]]</f>
        <v>4917400.9891012013</v>
      </c>
      <c r="S311" s="11"/>
      <c r="T311"/>
    </row>
    <row r="312" spans="1:20" ht="15">
      <c r="A312" s="444" t="s">
        <v>772</v>
      </c>
      <c r="B312" s="253" t="s">
        <v>317</v>
      </c>
      <c r="C312" s="37"/>
      <c r="D312" s="37"/>
      <c r="E312" s="37"/>
      <c r="F312" s="15"/>
      <c r="G312" s="16"/>
      <c r="H312" s="17"/>
      <c r="I312" s="17"/>
      <c r="J312" s="15"/>
      <c r="K312" s="15"/>
      <c r="L312" s="18"/>
      <c r="M312" s="15"/>
      <c r="N312" s="303"/>
      <c r="O312" s="303"/>
      <c r="P312" s="34"/>
      <c r="Q312" s="34">
        <v>5795039.7069900008</v>
      </c>
      <c r="R312" s="341">
        <f>+Yhteenveto[[#This Row],[Kunnan  peruspalvelujen valtionosuus ]]+Yhteenveto[[#This Row],[Veroperustemuutoksista johtuvien veromenetysten korvaus]]+Yhteenveto[[#This Row],[Kotikuntakorvaus, netto (ei päivitetty)]]</f>
        <v>5795039.7069900008</v>
      </c>
      <c r="S312" s="11"/>
      <c r="T312"/>
    </row>
    <row r="313" spans="1:20" ht="15">
      <c r="A313" s="444" t="s">
        <v>773</v>
      </c>
      <c r="B313" s="253" t="s">
        <v>318</v>
      </c>
      <c r="C313" s="37"/>
      <c r="D313" s="37"/>
      <c r="E313" s="37"/>
      <c r="F313" s="15"/>
      <c r="G313" s="16"/>
      <c r="H313" s="17"/>
      <c r="I313" s="17"/>
      <c r="J313" s="15"/>
      <c r="K313" s="15"/>
      <c r="L313" s="18"/>
      <c r="M313" s="15"/>
      <c r="N313" s="303"/>
      <c r="O313" s="303"/>
      <c r="P313" s="34"/>
      <c r="Q313" s="34">
        <v>3839304.9228574</v>
      </c>
      <c r="R313" s="341">
        <f>+Yhteenveto[[#This Row],[Kunnan  peruspalvelujen valtionosuus ]]+Yhteenveto[[#This Row],[Veroperustemuutoksista johtuvien veromenetysten korvaus]]+Yhteenveto[[#This Row],[Kotikuntakorvaus, netto (ei päivitetty)]]</f>
        <v>3839304.9228574</v>
      </c>
      <c r="S313" s="11"/>
      <c r="T313"/>
    </row>
    <row r="314" spans="1:20" ht="15">
      <c r="A314" s="444" t="s">
        <v>774</v>
      </c>
      <c r="B314" s="253" t="s">
        <v>735</v>
      </c>
      <c r="C314" s="37"/>
      <c r="D314" s="37"/>
      <c r="E314" s="37"/>
      <c r="F314" s="15"/>
      <c r="G314" s="16"/>
      <c r="H314" s="17"/>
      <c r="I314" s="17"/>
      <c r="J314" s="15"/>
      <c r="K314" s="15"/>
      <c r="L314" s="18"/>
      <c r="M314" s="15"/>
      <c r="N314" s="303"/>
      <c r="O314" s="303"/>
      <c r="P314" s="34"/>
      <c r="Q314" s="34">
        <v>8158249.6101424005</v>
      </c>
      <c r="R314" s="341">
        <f>+Yhteenveto[[#This Row],[Kunnan  peruspalvelujen valtionosuus ]]+Yhteenveto[[#This Row],[Veroperustemuutoksista johtuvien veromenetysten korvaus]]+Yhteenveto[[#This Row],[Kotikuntakorvaus, netto (ei päivitetty)]]</f>
        <v>8158249.6101424005</v>
      </c>
      <c r="S314" s="11"/>
      <c r="T314"/>
    </row>
    <row r="315" spans="1:20" s="45" customFormat="1" ht="15">
      <c r="A315" s="46" t="s">
        <v>775</v>
      </c>
      <c r="B315" s="446" t="s">
        <v>319</v>
      </c>
      <c r="C315" s="39"/>
      <c r="D315" s="39"/>
      <c r="E315" s="39"/>
      <c r="F315" s="15"/>
      <c r="G315" s="40"/>
      <c r="H315" s="41"/>
      <c r="I315" s="41"/>
      <c r="J315" s="15"/>
      <c r="K315" s="15"/>
      <c r="L315" s="42"/>
      <c r="M315" s="15"/>
      <c r="N315" s="303"/>
      <c r="O315" s="303"/>
      <c r="P315" s="34"/>
      <c r="Q315" s="34">
        <v>1908281.0627583801</v>
      </c>
      <c r="R315" s="341">
        <f>+Yhteenveto[[#This Row],[Kunnan  peruspalvelujen valtionosuus ]]+Yhteenveto[[#This Row],[Veroperustemuutoksista johtuvien veromenetysten korvaus]]+Yhteenveto[[#This Row],[Kotikuntakorvaus, netto (ei päivitetty)]]</f>
        <v>1908281.0627583801</v>
      </c>
      <c r="S315" s="44"/>
    </row>
    <row r="316" spans="1:20" s="45" customFormat="1" ht="15">
      <c r="A316" s="46" t="s">
        <v>776</v>
      </c>
      <c r="B316" s="446" t="s">
        <v>320</v>
      </c>
      <c r="C316" s="39"/>
      <c r="D316" s="39"/>
      <c r="E316" s="39"/>
      <c r="F316" s="15"/>
      <c r="G316" s="40"/>
      <c r="H316" s="41"/>
      <c r="I316" s="41"/>
      <c r="J316" s="15"/>
      <c r="K316" s="15"/>
      <c r="L316" s="42"/>
      <c r="M316" s="15"/>
      <c r="N316" s="303"/>
      <c r="O316" s="303"/>
      <c r="P316" s="34"/>
      <c r="Q316" s="34">
        <v>3829099.8214866002</v>
      </c>
      <c r="R316" s="341">
        <f>+Yhteenveto[[#This Row],[Kunnan  peruspalvelujen valtionosuus ]]+Yhteenveto[[#This Row],[Veroperustemuutoksista johtuvien veromenetysten korvaus]]+Yhteenveto[[#This Row],[Kotikuntakorvaus, netto (ei päivitetty)]]</f>
        <v>3829099.8214866002</v>
      </c>
      <c r="S316" s="44"/>
    </row>
    <row r="317" spans="1:20" ht="15">
      <c r="A317" s="444" t="s">
        <v>777</v>
      </c>
      <c r="B317" s="253" t="s">
        <v>321</v>
      </c>
      <c r="C317" s="37"/>
      <c r="D317" s="37"/>
      <c r="E317" s="37"/>
      <c r="F317" s="15"/>
      <c r="G317" s="16"/>
      <c r="H317" s="17"/>
      <c r="I317" s="17"/>
      <c r="J317" s="15"/>
      <c r="K317" s="15"/>
      <c r="L317" s="18"/>
      <c r="M317" s="15"/>
      <c r="N317" s="303"/>
      <c r="O317" s="303"/>
      <c r="P317" s="34"/>
      <c r="Q317" s="34">
        <v>5260000.8208352011</v>
      </c>
      <c r="R317" s="341">
        <f>+Yhteenveto[[#This Row],[Kunnan  peruspalvelujen valtionosuus ]]+Yhteenveto[[#This Row],[Veroperustemuutoksista johtuvien veromenetysten korvaus]]+Yhteenveto[[#This Row],[Kotikuntakorvaus, netto (ei päivitetty)]]</f>
        <v>5260000.8208352011</v>
      </c>
      <c r="S317" s="11"/>
      <c r="T317"/>
    </row>
    <row r="318" spans="1:20" ht="15">
      <c r="A318" s="444" t="s">
        <v>778</v>
      </c>
      <c r="B318" s="253" t="s">
        <v>322</v>
      </c>
      <c r="C318" s="37"/>
      <c r="D318" s="37"/>
      <c r="E318" s="37"/>
      <c r="F318" s="15"/>
      <c r="G318" s="16"/>
      <c r="H318" s="17"/>
      <c r="I318" s="17"/>
      <c r="J318" s="15"/>
      <c r="K318" s="15"/>
      <c r="L318" s="18"/>
      <c r="M318" s="15"/>
      <c r="N318" s="303"/>
      <c r="O318" s="303"/>
      <c r="P318" s="34"/>
      <c r="Q318" s="34">
        <v>4437396.7567675011</v>
      </c>
      <c r="R318" s="341">
        <f>+Yhteenveto[[#This Row],[Kunnan  peruspalvelujen valtionosuus ]]+Yhteenveto[[#This Row],[Veroperustemuutoksista johtuvien veromenetysten korvaus]]+Yhteenveto[[#This Row],[Kotikuntakorvaus, netto (ei päivitetty)]]</f>
        <v>4437396.7567675011</v>
      </c>
      <c r="S318" s="11"/>
      <c r="T318"/>
    </row>
    <row r="319" spans="1:20" ht="15">
      <c r="A319" s="444" t="s">
        <v>779</v>
      </c>
      <c r="B319" s="253" t="s">
        <v>323</v>
      </c>
      <c r="C319" s="37"/>
      <c r="D319" s="37"/>
      <c r="E319" s="37"/>
      <c r="F319" s="15"/>
      <c r="G319" s="16"/>
      <c r="H319" s="17"/>
      <c r="I319" s="17"/>
      <c r="J319" s="15"/>
      <c r="K319" s="15"/>
      <c r="L319" s="18"/>
      <c r="M319" s="15"/>
      <c r="N319" s="303"/>
      <c r="O319" s="303"/>
      <c r="P319" s="34"/>
      <c r="Q319" s="34">
        <v>3898348.7236456005</v>
      </c>
      <c r="R319" s="341">
        <f>+Yhteenveto[[#This Row],[Kunnan  peruspalvelujen valtionosuus ]]+Yhteenveto[[#This Row],[Veroperustemuutoksista johtuvien veromenetysten korvaus]]+Yhteenveto[[#This Row],[Kotikuntakorvaus, netto (ei päivitetty)]]</f>
        <v>3898348.7236456005</v>
      </c>
      <c r="S319" s="11"/>
      <c r="T319"/>
    </row>
    <row r="320" spans="1:20" ht="15">
      <c r="A320" s="444" t="s">
        <v>780</v>
      </c>
      <c r="B320" s="253" t="s">
        <v>324</v>
      </c>
      <c r="C320" s="37"/>
      <c r="D320" s="37"/>
      <c r="E320" s="37"/>
      <c r="F320" s="15"/>
      <c r="G320" s="16"/>
      <c r="H320" s="17"/>
      <c r="I320" s="17"/>
      <c r="J320" s="15"/>
      <c r="K320" s="15"/>
      <c r="L320" s="18"/>
      <c r="M320" s="15"/>
      <c r="N320" s="303"/>
      <c r="O320" s="303"/>
      <c r="P320" s="34"/>
      <c r="Q320" s="34">
        <v>920427.25006494019</v>
      </c>
      <c r="R320" s="341">
        <f>+Yhteenveto[[#This Row],[Kunnan  peruspalvelujen valtionosuus ]]+Yhteenveto[[#This Row],[Veroperustemuutoksista johtuvien veromenetysten korvaus]]+Yhteenveto[[#This Row],[Kotikuntakorvaus, netto (ei päivitetty)]]</f>
        <v>920427.25006494019</v>
      </c>
      <c r="S320" s="11"/>
      <c r="T320"/>
    </row>
    <row r="321" spans="1:20" ht="15">
      <c r="A321" s="444" t="s">
        <v>781</v>
      </c>
      <c r="B321" s="253" t="s">
        <v>325</v>
      </c>
      <c r="C321" s="37"/>
      <c r="D321" s="37"/>
      <c r="E321" s="37"/>
      <c r="F321" s="15"/>
      <c r="G321" s="16"/>
      <c r="H321" s="17"/>
      <c r="I321" s="17"/>
      <c r="J321" s="15"/>
      <c r="K321" s="15"/>
      <c r="L321" s="18"/>
      <c r="M321" s="15"/>
      <c r="N321" s="303"/>
      <c r="O321" s="303"/>
      <c r="P321" s="34"/>
      <c r="Q321" s="34">
        <v>379046.62234400003</v>
      </c>
      <c r="R321" s="341">
        <f>+Yhteenveto[[#This Row],[Kunnan  peruspalvelujen valtionosuus ]]+Yhteenveto[[#This Row],[Veroperustemuutoksista johtuvien veromenetysten korvaus]]+Yhteenveto[[#This Row],[Kotikuntakorvaus, netto (ei päivitetty)]]</f>
        <v>379046.62234400003</v>
      </c>
      <c r="S321" s="11"/>
      <c r="T321"/>
    </row>
    <row r="322" spans="1:20" ht="15">
      <c r="A322" s="444" t="s">
        <v>782</v>
      </c>
      <c r="B322" s="253" t="s">
        <v>326</v>
      </c>
      <c r="C322" s="37"/>
      <c r="D322" s="37"/>
      <c r="E322" s="37"/>
      <c r="F322" s="15"/>
      <c r="G322" s="16"/>
      <c r="H322" s="17"/>
      <c r="I322" s="17"/>
      <c r="J322" s="15"/>
      <c r="K322" s="15"/>
      <c r="L322" s="18"/>
      <c r="M322" s="15"/>
      <c r="N322" s="303"/>
      <c r="O322" s="303"/>
      <c r="P322" s="34"/>
      <c r="Q322" s="34">
        <v>208475.64228920001</v>
      </c>
      <c r="R322" s="341">
        <f>+Yhteenveto[[#This Row],[Kunnan  peruspalvelujen valtionosuus ]]+Yhteenveto[[#This Row],[Veroperustemuutoksista johtuvien veromenetysten korvaus]]+Yhteenveto[[#This Row],[Kotikuntakorvaus, netto (ei päivitetty)]]</f>
        <v>208475.64228920001</v>
      </c>
      <c r="S322" s="11"/>
      <c r="T322"/>
    </row>
    <row r="323" spans="1:20" ht="15">
      <c r="A323" s="444" t="s">
        <v>783</v>
      </c>
      <c r="B323" s="253" t="s">
        <v>713</v>
      </c>
      <c r="C323" s="37"/>
      <c r="D323" s="37"/>
      <c r="E323" s="37"/>
      <c r="F323" s="15"/>
      <c r="G323" s="16"/>
      <c r="H323" s="17"/>
      <c r="I323" s="17"/>
      <c r="J323" s="15"/>
      <c r="K323" s="15"/>
      <c r="L323" s="18"/>
      <c r="M323" s="15"/>
      <c r="N323" s="303"/>
      <c r="O323" s="303"/>
      <c r="P323" s="34"/>
      <c r="Q323" s="34">
        <v>5714856.7676480003</v>
      </c>
      <c r="R323" s="341">
        <f>+Yhteenveto[[#This Row],[Kunnan  peruspalvelujen valtionosuus ]]+Yhteenveto[[#This Row],[Veroperustemuutoksista johtuvien veromenetysten korvaus]]+Yhteenveto[[#This Row],[Kotikuntakorvaus, netto (ei päivitetty)]]</f>
        <v>5714856.7676480003</v>
      </c>
      <c r="S323" s="11"/>
      <c r="T323"/>
    </row>
    <row r="324" spans="1:20" ht="15">
      <c r="A324" s="444" t="s">
        <v>784</v>
      </c>
      <c r="B324" s="253" t="s">
        <v>327</v>
      </c>
      <c r="C324" s="37"/>
      <c r="D324" s="37"/>
      <c r="E324" s="37"/>
      <c r="F324" s="15"/>
      <c r="G324" s="16"/>
      <c r="H324" s="17"/>
      <c r="I324" s="17"/>
      <c r="J324" s="15"/>
      <c r="K324" s="15"/>
      <c r="L324" s="18"/>
      <c r="M324" s="15"/>
      <c r="N324" s="303"/>
      <c r="O324" s="303"/>
      <c r="P324" s="34"/>
      <c r="Q324" s="34">
        <v>402372.56833440001</v>
      </c>
      <c r="R324" s="341">
        <f>+Yhteenveto[[#This Row],[Kunnan  peruspalvelujen valtionosuus ]]+Yhteenveto[[#This Row],[Veroperustemuutoksista johtuvien veromenetysten korvaus]]+Yhteenveto[[#This Row],[Kotikuntakorvaus, netto (ei päivitetty)]]</f>
        <v>402372.56833440001</v>
      </c>
      <c r="S324" s="11"/>
      <c r="T324"/>
    </row>
    <row r="325" spans="1:20" ht="15">
      <c r="A325" s="444" t="s">
        <v>785</v>
      </c>
      <c r="B325" s="253" t="s">
        <v>328</v>
      </c>
      <c r="C325" s="37"/>
      <c r="D325" s="37"/>
      <c r="E325" s="37"/>
      <c r="F325" s="15"/>
      <c r="G325" s="16"/>
      <c r="H325" s="17"/>
      <c r="I325" s="17"/>
      <c r="J325" s="15"/>
      <c r="K325" s="15"/>
      <c r="L325" s="18"/>
      <c r="M325" s="15"/>
      <c r="N325" s="303"/>
      <c r="O325" s="303"/>
      <c r="P325" s="34"/>
      <c r="Q325" s="34">
        <v>599258.13120962004</v>
      </c>
      <c r="R325" s="341">
        <f>+Yhteenveto[[#This Row],[Kunnan  peruspalvelujen valtionosuus ]]+Yhteenveto[[#This Row],[Veroperustemuutoksista johtuvien veromenetysten korvaus]]+Yhteenveto[[#This Row],[Kotikuntakorvaus, netto (ei päivitetty)]]</f>
        <v>599258.13120962004</v>
      </c>
      <c r="S325" s="11"/>
      <c r="T325"/>
    </row>
    <row r="326" spans="1:20" ht="15">
      <c r="A326" s="444" t="s">
        <v>786</v>
      </c>
      <c r="B326" s="253" t="s">
        <v>329</v>
      </c>
      <c r="C326" s="37"/>
      <c r="D326" s="37"/>
      <c r="E326" s="37"/>
      <c r="F326" s="15"/>
      <c r="G326" s="16"/>
      <c r="H326" s="17"/>
      <c r="I326" s="17"/>
      <c r="J326" s="15"/>
      <c r="K326" s="15"/>
      <c r="L326" s="18"/>
      <c r="M326" s="15"/>
      <c r="N326" s="303"/>
      <c r="O326" s="303"/>
      <c r="P326" s="34"/>
      <c r="Q326" s="34">
        <v>2932466.4942034925</v>
      </c>
      <c r="R326" s="341">
        <f>+Yhteenveto[[#This Row],[Kunnan  peruspalvelujen valtionosuus ]]+Yhteenveto[[#This Row],[Veroperustemuutoksista johtuvien veromenetysten korvaus]]+Yhteenveto[[#This Row],[Kotikuntakorvaus, netto (ei päivitetty)]]</f>
        <v>2932466.4942034925</v>
      </c>
      <c r="S326" s="11"/>
      <c r="T326"/>
    </row>
    <row r="327" spans="1:20" ht="15">
      <c r="A327" s="444" t="s">
        <v>787</v>
      </c>
      <c r="B327" s="253" t="s">
        <v>330</v>
      </c>
      <c r="C327" s="37"/>
      <c r="D327" s="37"/>
      <c r="E327" s="37"/>
      <c r="F327" s="15"/>
      <c r="G327" s="16"/>
      <c r="H327" s="17"/>
      <c r="I327" s="17"/>
      <c r="J327" s="15"/>
      <c r="K327" s="15"/>
      <c r="L327" s="18"/>
      <c r="M327" s="15"/>
      <c r="N327" s="303"/>
      <c r="O327" s="303"/>
      <c r="P327" s="34"/>
      <c r="Q327" s="34">
        <v>1804845.0710072003</v>
      </c>
      <c r="R327" s="341">
        <f>+Yhteenveto[[#This Row],[Kunnan  peruspalvelujen valtionosuus ]]+Yhteenveto[[#This Row],[Veroperustemuutoksista johtuvien veromenetysten korvaus]]+Yhteenveto[[#This Row],[Kotikuntakorvaus, netto (ei päivitetty)]]</f>
        <v>1804845.0710072003</v>
      </c>
      <c r="S327" s="11"/>
      <c r="T327"/>
    </row>
    <row r="328" spans="1:20" ht="15">
      <c r="A328" s="444" t="s">
        <v>788</v>
      </c>
      <c r="B328" s="253" t="s">
        <v>331</v>
      </c>
      <c r="C328" s="37"/>
      <c r="D328" s="37"/>
      <c r="E328" s="37"/>
      <c r="F328" s="15"/>
      <c r="G328" s="16"/>
      <c r="H328" s="17"/>
      <c r="I328" s="17"/>
      <c r="J328" s="15"/>
      <c r="K328" s="15"/>
      <c r="L328" s="18"/>
      <c r="M328" s="15"/>
      <c r="N328" s="303"/>
      <c r="O328" s="303"/>
      <c r="P328" s="34"/>
      <c r="Q328" s="34">
        <v>1511229.7258530401</v>
      </c>
      <c r="R328" s="341">
        <f>+Yhteenveto[[#This Row],[Kunnan  peruspalvelujen valtionosuus ]]+Yhteenveto[[#This Row],[Veroperustemuutoksista johtuvien veromenetysten korvaus]]+Yhteenveto[[#This Row],[Kotikuntakorvaus, netto (ei päivitetty)]]</f>
        <v>1511229.7258530401</v>
      </c>
      <c r="S328" s="11"/>
      <c r="T328"/>
    </row>
    <row r="329" spans="1:20" ht="15">
      <c r="A329" s="444" t="s">
        <v>789</v>
      </c>
      <c r="B329" s="253" t="s">
        <v>332</v>
      </c>
      <c r="C329" s="37"/>
      <c r="D329" s="37"/>
      <c r="E329" s="37"/>
      <c r="F329" s="15"/>
      <c r="G329" s="16"/>
      <c r="H329" s="17"/>
      <c r="I329" s="17"/>
      <c r="J329" s="15"/>
      <c r="K329" s="15"/>
      <c r="L329" s="18"/>
      <c r="M329" s="15"/>
      <c r="N329" s="303"/>
      <c r="O329" s="303"/>
      <c r="P329" s="34"/>
      <c r="Q329" s="34">
        <v>1002068.0610313398</v>
      </c>
      <c r="R329" s="341">
        <f>+Yhteenveto[[#This Row],[Kunnan  peruspalvelujen valtionosuus ]]+Yhteenveto[[#This Row],[Veroperustemuutoksista johtuvien veromenetysten korvaus]]+Yhteenveto[[#This Row],[Kotikuntakorvaus, netto (ei päivitetty)]]</f>
        <v>1002068.0610313398</v>
      </c>
      <c r="S329" s="11"/>
      <c r="T329"/>
    </row>
    <row r="330" spans="1:20" ht="15">
      <c r="A330" s="444" t="s">
        <v>790</v>
      </c>
      <c r="B330" s="253" t="s">
        <v>333</v>
      </c>
      <c r="C330" s="37"/>
      <c r="D330" s="37"/>
      <c r="E330" s="37"/>
      <c r="F330" s="15"/>
      <c r="G330" s="16"/>
      <c r="H330" s="17"/>
      <c r="I330" s="17"/>
      <c r="J330" s="15"/>
      <c r="K330" s="15"/>
      <c r="L330" s="18"/>
      <c r="M330" s="15"/>
      <c r="N330" s="303"/>
      <c r="O330" s="303"/>
      <c r="P330" s="34"/>
      <c r="Q330" s="34">
        <v>1086405.9345028799</v>
      </c>
      <c r="R330" s="341">
        <f>+Yhteenveto[[#This Row],[Kunnan  peruspalvelujen valtionosuus ]]+Yhteenveto[[#This Row],[Veroperustemuutoksista johtuvien veromenetysten korvaus]]+Yhteenveto[[#This Row],[Kotikuntakorvaus, netto (ei päivitetty)]]</f>
        <v>1086405.9345028799</v>
      </c>
      <c r="S330" s="11"/>
      <c r="T330"/>
    </row>
    <row r="331" spans="1:20" ht="15">
      <c r="A331" s="444" t="s">
        <v>791</v>
      </c>
      <c r="B331" s="253" t="s">
        <v>334</v>
      </c>
      <c r="C331" s="37"/>
      <c r="D331" s="37"/>
      <c r="E331" s="37"/>
      <c r="F331" s="15"/>
      <c r="G331" s="16"/>
      <c r="H331" s="17"/>
      <c r="I331" s="17"/>
      <c r="J331" s="15"/>
      <c r="K331" s="15"/>
      <c r="L331" s="18"/>
      <c r="M331" s="15"/>
      <c r="N331" s="303"/>
      <c r="O331" s="303"/>
      <c r="P331" s="34"/>
      <c r="Q331" s="34">
        <v>1610073.4219873601</v>
      </c>
      <c r="R331" s="341">
        <f>+Yhteenveto[[#This Row],[Kunnan  peruspalvelujen valtionosuus ]]+Yhteenveto[[#This Row],[Veroperustemuutoksista johtuvien veromenetysten korvaus]]+Yhteenveto[[#This Row],[Kotikuntakorvaus, netto (ei päivitetty)]]</f>
        <v>1610073.4219873601</v>
      </c>
      <c r="S331" s="11"/>
      <c r="T331"/>
    </row>
    <row r="332" spans="1:20" ht="15">
      <c r="A332" s="444" t="s">
        <v>792</v>
      </c>
      <c r="B332" s="253" t="s">
        <v>335</v>
      </c>
      <c r="C332" s="37"/>
      <c r="D332" s="37"/>
      <c r="E332" s="37"/>
      <c r="F332" s="15"/>
      <c r="G332" s="16"/>
      <c r="H332" s="17"/>
      <c r="I332" s="17"/>
      <c r="J332" s="15"/>
      <c r="K332" s="15"/>
      <c r="L332" s="18"/>
      <c r="M332" s="15"/>
      <c r="N332" s="303"/>
      <c r="O332" s="303"/>
      <c r="P332" s="34"/>
      <c r="Q332" s="34">
        <v>820781.72453719983</v>
      </c>
      <c r="R332" s="341">
        <f>+Yhteenveto[[#This Row],[Kunnan  peruspalvelujen valtionosuus ]]+Yhteenveto[[#This Row],[Veroperustemuutoksista johtuvien veromenetysten korvaus]]+Yhteenveto[[#This Row],[Kotikuntakorvaus, netto (ei päivitetty)]]</f>
        <v>820781.72453719983</v>
      </c>
      <c r="S332" s="11"/>
      <c r="T332"/>
    </row>
    <row r="333" spans="1:20" ht="15">
      <c r="A333" s="444" t="s">
        <v>793</v>
      </c>
      <c r="B333" s="253" t="s">
        <v>736</v>
      </c>
      <c r="C333" s="37"/>
      <c r="D333" s="37"/>
      <c r="E333" s="37"/>
      <c r="F333" s="15"/>
      <c r="G333" s="16"/>
      <c r="H333" s="17"/>
      <c r="I333" s="17"/>
      <c r="J333" s="15"/>
      <c r="K333" s="15"/>
      <c r="L333" s="18"/>
      <c r="M333" s="15"/>
      <c r="N333" s="303"/>
      <c r="O333" s="303"/>
      <c r="P333" s="34"/>
      <c r="Q333" s="34">
        <v>1207919.5343966202</v>
      </c>
      <c r="R333" s="341">
        <f>+Yhteenveto[[#This Row],[Kunnan  peruspalvelujen valtionosuus ]]+Yhteenveto[[#This Row],[Veroperustemuutoksista johtuvien veromenetysten korvaus]]+Yhteenveto[[#This Row],[Kotikuntakorvaus, netto (ei päivitetty)]]</f>
        <v>1207919.5343966202</v>
      </c>
      <c r="S333" s="11"/>
      <c r="T333"/>
    </row>
    <row r="334" spans="1:20" ht="15">
      <c r="A334" s="444" t="s">
        <v>794</v>
      </c>
      <c r="B334" s="253" t="s">
        <v>336</v>
      </c>
      <c r="C334" s="37"/>
      <c r="D334" s="37"/>
      <c r="E334" s="37"/>
      <c r="F334" s="15"/>
      <c r="G334" s="16"/>
      <c r="H334" s="17"/>
      <c r="I334" s="17"/>
      <c r="J334" s="15"/>
      <c r="K334" s="15"/>
      <c r="L334" s="18"/>
      <c r="M334" s="15"/>
      <c r="N334" s="303"/>
      <c r="O334" s="303"/>
      <c r="P334" s="34"/>
      <c r="Q334" s="34">
        <v>686657.53509239992</v>
      </c>
      <c r="R334" s="341">
        <f>+Yhteenveto[[#This Row],[Kunnan  peruspalvelujen valtionosuus ]]+Yhteenveto[[#This Row],[Veroperustemuutoksista johtuvien veromenetysten korvaus]]+Yhteenveto[[#This Row],[Kotikuntakorvaus, netto (ei päivitetty)]]</f>
        <v>686657.53509239992</v>
      </c>
      <c r="S334" s="11"/>
      <c r="T334"/>
    </row>
    <row r="335" spans="1:20" ht="15">
      <c r="A335" s="444" t="s">
        <v>795</v>
      </c>
      <c r="B335" s="253" t="s">
        <v>337</v>
      </c>
      <c r="C335" s="37"/>
      <c r="D335" s="37"/>
      <c r="E335" s="37"/>
      <c r="F335" s="15"/>
      <c r="G335" s="16"/>
      <c r="H335" s="17"/>
      <c r="I335" s="17"/>
      <c r="J335" s="15"/>
      <c r="K335" s="15"/>
      <c r="L335" s="18"/>
      <c r="M335" s="15"/>
      <c r="N335" s="303"/>
      <c r="O335" s="303"/>
      <c r="P335" s="34"/>
      <c r="Q335" s="34">
        <v>1605481.1263705003</v>
      </c>
      <c r="R335" s="341">
        <f>+Yhteenveto[[#This Row],[Kunnan  peruspalvelujen valtionosuus ]]+Yhteenveto[[#This Row],[Veroperustemuutoksista johtuvien veromenetysten korvaus]]+Yhteenveto[[#This Row],[Kotikuntakorvaus, netto (ei päivitetty)]]</f>
        <v>1605481.1263705003</v>
      </c>
      <c r="S335" s="11"/>
      <c r="T335"/>
    </row>
    <row r="336" spans="1:20" ht="15">
      <c r="A336" s="444" t="s">
        <v>796</v>
      </c>
      <c r="B336" s="253" t="s">
        <v>338</v>
      </c>
      <c r="C336" s="37"/>
      <c r="D336" s="37"/>
      <c r="E336" s="37"/>
      <c r="F336" s="15"/>
      <c r="G336" s="16"/>
      <c r="H336" s="17"/>
      <c r="I336" s="17"/>
      <c r="J336" s="15"/>
      <c r="K336" s="15"/>
      <c r="L336" s="18"/>
      <c r="M336" s="15"/>
      <c r="N336" s="303"/>
      <c r="O336" s="303"/>
      <c r="P336" s="34"/>
      <c r="Q336" s="34">
        <v>1641053.1940058598</v>
      </c>
      <c r="R336" s="341">
        <f>+Yhteenveto[[#This Row],[Kunnan  peruspalvelujen valtionosuus ]]+Yhteenveto[[#This Row],[Veroperustemuutoksista johtuvien veromenetysten korvaus]]+Yhteenveto[[#This Row],[Kotikuntakorvaus, netto (ei päivitetty)]]</f>
        <v>1641053.1940058598</v>
      </c>
      <c r="S336" s="11"/>
      <c r="T336"/>
    </row>
    <row r="337" spans="1:20" ht="15">
      <c r="A337" s="444" t="s">
        <v>797</v>
      </c>
      <c r="B337" s="253" t="s">
        <v>339</v>
      </c>
      <c r="C337" s="37"/>
      <c r="D337" s="37"/>
      <c r="E337" s="37"/>
      <c r="F337" s="15"/>
      <c r="G337" s="16"/>
      <c r="H337" s="17"/>
      <c r="I337" s="17"/>
      <c r="J337" s="15"/>
      <c r="K337" s="15"/>
      <c r="L337" s="18"/>
      <c r="M337" s="15"/>
      <c r="N337" s="303"/>
      <c r="O337" s="303"/>
      <c r="P337" s="34"/>
      <c r="Q337" s="34">
        <v>814950.23803960008</v>
      </c>
      <c r="R337" s="341">
        <f>+Yhteenveto[[#This Row],[Kunnan  peruspalvelujen valtionosuus ]]+Yhteenveto[[#This Row],[Veroperustemuutoksista johtuvien veromenetysten korvaus]]+Yhteenveto[[#This Row],[Kotikuntakorvaus, netto (ei päivitetty)]]</f>
        <v>814950.23803960008</v>
      </c>
      <c r="S337" s="11"/>
      <c r="T337"/>
    </row>
    <row r="338" spans="1:20" ht="15">
      <c r="A338" s="444" t="s">
        <v>798</v>
      </c>
      <c r="B338" s="253" t="s">
        <v>340</v>
      </c>
      <c r="C338" s="37"/>
      <c r="D338" s="37"/>
      <c r="E338" s="37"/>
      <c r="F338" s="15"/>
      <c r="G338" s="16"/>
      <c r="H338" s="17"/>
      <c r="I338" s="17"/>
      <c r="J338" s="15"/>
      <c r="K338" s="15"/>
      <c r="L338" s="18"/>
      <c r="M338" s="15"/>
      <c r="N338" s="303"/>
      <c r="O338" s="303"/>
      <c r="P338" s="34"/>
      <c r="Q338" s="34">
        <v>4189267.0062946202</v>
      </c>
      <c r="R338" s="341">
        <f>+Yhteenveto[[#This Row],[Kunnan  peruspalvelujen valtionosuus ]]+Yhteenveto[[#This Row],[Veroperustemuutoksista johtuvien veromenetysten korvaus]]+Yhteenveto[[#This Row],[Kotikuntakorvaus, netto (ei päivitetty)]]</f>
        <v>4189267.0062946202</v>
      </c>
      <c r="S338" s="11"/>
      <c r="T338"/>
    </row>
    <row r="339" spans="1:20" ht="15">
      <c r="A339" s="444" t="s">
        <v>799</v>
      </c>
      <c r="B339" s="253" t="s">
        <v>341</v>
      </c>
      <c r="C339" s="37"/>
      <c r="D339" s="37"/>
      <c r="E339" s="37"/>
      <c r="F339" s="15"/>
      <c r="G339" s="16"/>
      <c r="H339" s="17"/>
      <c r="I339" s="17"/>
      <c r="J339" s="15"/>
      <c r="K339" s="15"/>
      <c r="L339" s="18"/>
      <c r="M339" s="15"/>
      <c r="N339" s="303"/>
      <c r="O339" s="303"/>
      <c r="P339" s="34"/>
      <c r="Q339" s="34">
        <v>938869.32611360005</v>
      </c>
      <c r="R339" s="341">
        <f>+Yhteenveto[[#This Row],[Kunnan  peruspalvelujen valtionosuus ]]+Yhteenveto[[#This Row],[Veroperustemuutoksista johtuvien veromenetysten korvaus]]+Yhteenveto[[#This Row],[Kotikuntakorvaus, netto (ei päivitetty)]]</f>
        <v>938869.32611360005</v>
      </c>
      <c r="S339" s="11"/>
      <c r="T339"/>
    </row>
    <row r="340" spans="1:20" ht="15">
      <c r="A340" s="444" t="s">
        <v>800</v>
      </c>
      <c r="B340" s="253" t="s">
        <v>342</v>
      </c>
      <c r="C340" s="37"/>
      <c r="D340" s="37"/>
      <c r="E340" s="37"/>
      <c r="F340" s="15"/>
      <c r="G340" s="16"/>
      <c r="H340" s="17"/>
      <c r="I340" s="17"/>
      <c r="J340" s="15"/>
      <c r="K340" s="15"/>
      <c r="L340" s="18"/>
      <c r="M340" s="15"/>
      <c r="N340" s="303"/>
      <c r="O340" s="303"/>
      <c r="P340" s="34"/>
      <c r="Q340" s="34">
        <v>1867752.2316000599</v>
      </c>
      <c r="R340" s="341">
        <f>+Yhteenveto[[#This Row],[Kunnan  peruspalvelujen valtionosuus ]]+Yhteenveto[[#This Row],[Veroperustemuutoksista johtuvien veromenetysten korvaus]]+Yhteenveto[[#This Row],[Kotikuntakorvaus, netto (ei päivitetty)]]</f>
        <v>1867752.2316000599</v>
      </c>
      <c r="S340" s="11"/>
      <c r="T340"/>
    </row>
    <row r="341" spans="1:20" ht="15">
      <c r="A341" s="444" t="s">
        <v>801</v>
      </c>
      <c r="B341" s="253" t="s">
        <v>751</v>
      </c>
      <c r="C341" s="37"/>
      <c r="D341" s="37"/>
      <c r="E341" s="37"/>
      <c r="F341" s="15"/>
      <c r="G341" s="16"/>
      <c r="H341" s="17"/>
      <c r="I341" s="17"/>
      <c r="J341" s="15"/>
      <c r="K341" s="15"/>
      <c r="L341" s="18"/>
      <c r="M341" s="15"/>
      <c r="N341" s="303"/>
      <c r="O341" s="303"/>
      <c r="P341" s="34"/>
      <c r="Q341" s="34">
        <v>1272211.6730326596</v>
      </c>
      <c r="R341" s="341">
        <f>+Yhteenveto[[#This Row],[Kunnan  peruspalvelujen valtionosuus ]]+Yhteenveto[[#This Row],[Veroperustemuutoksista johtuvien veromenetysten korvaus]]+Yhteenveto[[#This Row],[Kotikuntakorvaus, netto (ei päivitetty)]]</f>
        <v>1272211.6730326596</v>
      </c>
      <c r="S341" s="11"/>
      <c r="T341"/>
    </row>
    <row r="342" spans="1:20" ht="15">
      <c r="A342" s="444" t="s">
        <v>802</v>
      </c>
      <c r="B342" s="253" t="s">
        <v>343</v>
      </c>
      <c r="C342" s="37"/>
      <c r="D342" s="37"/>
      <c r="E342" s="37"/>
      <c r="F342" s="15"/>
      <c r="G342" s="16"/>
      <c r="H342" s="17"/>
      <c r="I342" s="17"/>
      <c r="J342" s="15"/>
      <c r="K342" s="15"/>
      <c r="L342" s="18"/>
      <c r="M342" s="15"/>
      <c r="N342" s="303"/>
      <c r="O342" s="303"/>
      <c r="P342" s="34"/>
      <c r="Q342" s="34">
        <v>1548259.6651128</v>
      </c>
      <c r="R342" s="341">
        <f>+Yhteenveto[[#This Row],[Kunnan  peruspalvelujen valtionosuus ]]+Yhteenveto[[#This Row],[Veroperustemuutoksista johtuvien veromenetysten korvaus]]+Yhteenveto[[#This Row],[Kotikuntakorvaus, netto (ei päivitetty)]]</f>
        <v>1548259.6651128</v>
      </c>
      <c r="S342" s="11"/>
      <c r="T342"/>
    </row>
    <row r="343" spans="1:20" ht="15">
      <c r="A343" s="444" t="s">
        <v>803</v>
      </c>
      <c r="B343" s="253" t="s">
        <v>344</v>
      </c>
      <c r="C343" s="37"/>
      <c r="D343" s="37"/>
      <c r="E343" s="37"/>
      <c r="F343" s="15"/>
      <c r="G343" s="16"/>
      <c r="H343" s="17"/>
      <c r="I343" s="17"/>
      <c r="J343" s="15"/>
      <c r="K343" s="15"/>
      <c r="L343" s="18"/>
      <c r="M343" s="15"/>
      <c r="N343" s="303"/>
      <c r="O343" s="303"/>
      <c r="P343" s="34"/>
      <c r="Q343" s="34">
        <v>4368389.1323623387</v>
      </c>
      <c r="R343" s="341">
        <f>+Yhteenveto[[#This Row],[Kunnan  peruspalvelujen valtionosuus ]]+Yhteenveto[[#This Row],[Veroperustemuutoksista johtuvien veromenetysten korvaus]]+Yhteenveto[[#This Row],[Kotikuntakorvaus, netto (ei päivitetty)]]</f>
        <v>4368389.1323623387</v>
      </c>
      <c r="S343" s="11"/>
      <c r="T343"/>
    </row>
    <row r="344" spans="1:20" ht="15">
      <c r="A344" s="444" t="s">
        <v>804</v>
      </c>
      <c r="B344" s="253" t="s">
        <v>345</v>
      </c>
      <c r="C344" s="37"/>
      <c r="D344" s="37"/>
      <c r="E344" s="37"/>
      <c r="F344" s="15"/>
      <c r="G344" s="16"/>
      <c r="H344" s="17"/>
      <c r="I344" s="17"/>
      <c r="J344" s="15"/>
      <c r="K344" s="15"/>
      <c r="L344" s="18"/>
      <c r="M344" s="15"/>
      <c r="N344" s="303"/>
      <c r="O344" s="303"/>
      <c r="P344" s="34"/>
      <c r="Q344" s="34">
        <v>49640.528810819997</v>
      </c>
      <c r="R344" s="341">
        <f>+Yhteenveto[[#This Row],[Kunnan  peruspalvelujen valtionosuus ]]+Yhteenveto[[#This Row],[Veroperustemuutoksista johtuvien veromenetysten korvaus]]+Yhteenveto[[#This Row],[Kotikuntakorvaus, netto (ei päivitetty)]]</f>
        <v>49640.528810819997</v>
      </c>
      <c r="S344" s="11"/>
      <c r="T344"/>
    </row>
    <row r="345" spans="1:20" ht="15">
      <c r="A345" s="444" t="s">
        <v>805</v>
      </c>
      <c r="B345" s="253" t="s">
        <v>346</v>
      </c>
      <c r="C345" s="37"/>
      <c r="D345" s="37"/>
      <c r="E345" s="37"/>
      <c r="F345" s="15"/>
      <c r="G345" s="16"/>
      <c r="H345" s="17"/>
      <c r="I345" s="17"/>
      <c r="J345" s="15"/>
      <c r="K345" s="15"/>
      <c r="L345" s="18"/>
      <c r="M345" s="15"/>
      <c r="N345" s="303"/>
      <c r="O345" s="303"/>
      <c r="P345" s="34"/>
      <c r="Q345" s="34">
        <v>983625.98498267995</v>
      </c>
      <c r="R345" s="341">
        <f>+Yhteenveto[[#This Row],[Kunnan  peruspalvelujen valtionosuus ]]+Yhteenveto[[#This Row],[Veroperustemuutoksista johtuvien veromenetysten korvaus]]+Yhteenveto[[#This Row],[Kotikuntakorvaus, netto (ei päivitetty)]]</f>
        <v>983625.98498267995</v>
      </c>
      <c r="S345" s="11"/>
      <c r="T345"/>
    </row>
    <row r="346" spans="1:20" ht="15">
      <c r="A346" s="46" t="s">
        <v>806</v>
      </c>
      <c r="B346" s="446" t="s">
        <v>347</v>
      </c>
      <c r="C346" s="39"/>
      <c r="D346" s="39"/>
      <c r="E346" s="39"/>
      <c r="F346" s="15"/>
      <c r="G346" s="40"/>
      <c r="H346" s="41"/>
      <c r="I346" s="41"/>
      <c r="J346" s="15"/>
      <c r="K346" s="15"/>
      <c r="L346" s="42"/>
      <c r="M346" s="15"/>
      <c r="N346" s="303"/>
      <c r="O346" s="303"/>
      <c r="P346" s="34"/>
      <c r="Q346" s="34">
        <v>785428.33764549985</v>
      </c>
      <c r="R346" s="341">
        <f>+Yhteenveto[[#This Row],[Kunnan  peruspalvelujen valtionosuus ]]+Yhteenveto[[#This Row],[Veroperustemuutoksista johtuvien veromenetysten korvaus]]+Yhteenveto[[#This Row],[Kotikuntakorvaus, netto (ei päivitetty)]]</f>
        <v>785428.33764549985</v>
      </c>
      <c r="S346" s="11"/>
      <c r="T346"/>
    </row>
    <row r="347" spans="1:20" ht="15">
      <c r="A347" s="444" t="s">
        <v>807</v>
      </c>
      <c r="B347" s="253" t="s">
        <v>348</v>
      </c>
      <c r="C347" s="37"/>
      <c r="D347" s="37"/>
      <c r="E347" s="37"/>
      <c r="F347" s="15"/>
      <c r="G347" s="16"/>
      <c r="H347" s="17"/>
      <c r="I347" s="17"/>
      <c r="J347" s="15"/>
      <c r="K347" s="15"/>
      <c r="L347" s="18"/>
      <c r="M347" s="15"/>
      <c r="N347" s="303"/>
      <c r="O347" s="303"/>
      <c r="P347" s="34"/>
      <c r="Q347" s="34">
        <v>2421306.0873847399</v>
      </c>
      <c r="R347" s="341">
        <f>+Yhteenveto[[#This Row],[Kunnan  peruspalvelujen valtionosuus ]]+Yhteenveto[[#This Row],[Veroperustemuutoksista johtuvien veromenetysten korvaus]]+Yhteenveto[[#This Row],[Kotikuntakorvaus, netto (ei päivitetty)]]</f>
        <v>2421306.0873847399</v>
      </c>
      <c r="S347" s="11"/>
      <c r="T347"/>
    </row>
    <row r="348" spans="1:20" ht="15">
      <c r="A348" s="444" t="s">
        <v>808</v>
      </c>
      <c r="B348" s="253" t="s">
        <v>349</v>
      </c>
      <c r="C348" s="37"/>
      <c r="D348" s="37"/>
      <c r="E348" s="37"/>
      <c r="F348" s="15"/>
      <c r="G348" s="16"/>
      <c r="H348" s="17"/>
      <c r="I348" s="17"/>
      <c r="J348" s="15"/>
      <c r="K348" s="15"/>
      <c r="L348" s="18"/>
      <c r="M348" s="15"/>
      <c r="N348" s="303"/>
      <c r="O348" s="303"/>
      <c r="P348" s="34"/>
      <c r="Q348" s="34">
        <v>1283145.7102156598</v>
      </c>
      <c r="R348" s="341">
        <f>+Yhteenveto[[#This Row],[Kunnan  peruspalvelujen valtionosuus ]]+Yhteenveto[[#This Row],[Veroperustemuutoksista johtuvien veromenetysten korvaus]]+Yhteenveto[[#This Row],[Kotikuntakorvaus, netto (ei päivitetty)]]</f>
        <v>1283145.7102156598</v>
      </c>
      <c r="S348" s="11"/>
      <c r="T348"/>
    </row>
    <row r="349" spans="1:20" ht="15">
      <c r="A349" s="444" t="s">
        <v>809</v>
      </c>
      <c r="B349" s="253" t="s">
        <v>350</v>
      </c>
      <c r="C349" s="37"/>
      <c r="D349" s="37"/>
      <c r="E349" s="37"/>
      <c r="F349" s="15"/>
      <c r="G349" s="16"/>
      <c r="H349" s="17"/>
      <c r="I349" s="17"/>
      <c r="J349" s="15"/>
      <c r="K349" s="15"/>
      <c r="L349" s="18"/>
      <c r="M349" s="15"/>
      <c r="N349" s="303"/>
      <c r="O349" s="303"/>
      <c r="P349" s="34"/>
      <c r="Q349" s="34">
        <v>3366662.9422269203</v>
      </c>
      <c r="R349" s="341">
        <f>+Yhteenveto[[#This Row],[Kunnan  peruspalvelujen valtionosuus ]]+Yhteenveto[[#This Row],[Veroperustemuutoksista johtuvien veromenetysten korvaus]]+Yhteenveto[[#This Row],[Kotikuntakorvaus, netto (ei päivitetty)]]</f>
        <v>3366662.9422269203</v>
      </c>
      <c r="S349" s="11"/>
      <c r="T349"/>
    </row>
    <row r="350" spans="1:20" ht="15">
      <c r="A350" s="444" t="s">
        <v>810</v>
      </c>
      <c r="B350" s="253" t="s">
        <v>351</v>
      </c>
      <c r="C350" s="37"/>
      <c r="D350" s="37"/>
      <c r="E350" s="37"/>
      <c r="F350" s="15"/>
      <c r="G350" s="16"/>
      <c r="H350" s="17"/>
      <c r="I350" s="17"/>
      <c r="J350" s="15"/>
      <c r="K350" s="15"/>
      <c r="L350" s="18"/>
      <c r="M350" s="15"/>
      <c r="N350" s="303"/>
      <c r="O350" s="303"/>
      <c r="P350" s="34"/>
      <c r="Q350" s="34">
        <v>2427356.2546260003</v>
      </c>
      <c r="R350" s="341">
        <f>+Yhteenveto[[#This Row],[Kunnan  peruspalvelujen valtionosuus ]]+Yhteenveto[[#This Row],[Veroperustemuutoksista johtuvien veromenetysten korvaus]]+Yhteenveto[[#This Row],[Kotikuntakorvaus, netto (ei päivitetty)]]</f>
        <v>2427356.2546260003</v>
      </c>
      <c r="S350" s="11"/>
      <c r="T350"/>
    </row>
    <row r="351" spans="1:20" ht="15">
      <c r="A351" s="444" t="s">
        <v>811</v>
      </c>
      <c r="B351" s="253" t="s">
        <v>352</v>
      </c>
      <c r="C351" s="37"/>
      <c r="D351" s="37"/>
      <c r="E351" s="37"/>
      <c r="F351" s="15"/>
      <c r="G351" s="16"/>
      <c r="H351" s="17"/>
      <c r="I351" s="17"/>
      <c r="J351" s="15"/>
      <c r="K351" s="15"/>
      <c r="L351" s="18"/>
      <c r="M351" s="15"/>
      <c r="N351" s="303"/>
      <c r="O351" s="303"/>
      <c r="P351" s="34"/>
      <c r="Q351" s="34">
        <v>625864.28835491999</v>
      </c>
      <c r="R351" s="341">
        <f>+Yhteenveto[[#This Row],[Kunnan  peruspalvelujen valtionosuus ]]+Yhteenveto[[#This Row],[Veroperustemuutoksista johtuvien veromenetysten korvaus]]+Yhteenveto[[#This Row],[Kotikuntakorvaus, netto (ei päivitetty)]]</f>
        <v>625864.28835491999</v>
      </c>
      <c r="S351" s="11"/>
      <c r="T351"/>
    </row>
    <row r="352" spans="1:20" ht="15">
      <c r="A352" s="444" t="s">
        <v>812</v>
      </c>
      <c r="B352" s="253" t="s">
        <v>353</v>
      </c>
      <c r="C352" s="37"/>
      <c r="D352" s="37"/>
      <c r="E352" s="37"/>
      <c r="F352" s="15"/>
      <c r="G352" s="16"/>
      <c r="H352" s="17"/>
      <c r="I352" s="17"/>
      <c r="J352" s="15"/>
      <c r="K352" s="15"/>
      <c r="L352" s="18"/>
      <c r="M352" s="15"/>
      <c r="N352" s="303"/>
      <c r="O352" s="303"/>
      <c r="P352" s="34"/>
      <c r="Q352" s="34">
        <v>511712.94016440003</v>
      </c>
      <c r="R352" s="341">
        <f>+Yhteenveto[[#This Row],[Kunnan  peruspalvelujen valtionosuus ]]+Yhteenveto[[#This Row],[Veroperustemuutoksista johtuvien veromenetysten korvaus]]+Yhteenveto[[#This Row],[Kotikuntakorvaus, netto (ei päivitetty)]]</f>
        <v>511712.94016440003</v>
      </c>
      <c r="S352" s="11"/>
      <c r="T352"/>
    </row>
    <row r="353" spans="1:20" ht="15">
      <c r="A353" s="46" t="s">
        <v>813</v>
      </c>
      <c r="B353" s="446" t="s">
        <v>354</v>
      </c>
      <c r="C353" s="39"/>
      <c r="D353" s="39"/>
      <c r="E353" s="39"/>
      <c r="F353" s="15"/>
      <c r="G353" s="40"/>
      <c r="H353" s="41"/>
      <c r="I353" s="41"/>
      <c r="J353" s="15"/>
      <c r="K353" s="15"/>
      <c r="L353" s="42"/>
      <c r="M353" s="15"/>
      <c r="N353" s="303"/>
      <c r="O353" s="303"/>
      <c r="P353" s="34"/>
      <c r="Q353" s="34">
        <v>1218999.3587420601</v>
      </c>
      <c r="R353" s="341">
        <f>+Yhteenveto[[#This Row],[Kunnan  peruspalvelujen valtionosuus ]]+Yhteenveto[[#This Row],[Veroperustemuutoksista johtuvien veromenetysten korvaus]]+Yhteenveto[[#This Row],[Kotikuntakorvaus, netto (ei päivitetty)]]</f>
        <v>1218999.3587420601</v>
      </c>
      <c r="S353" s="11"/>
      <c r="T353"/>
    </row>
    <row r="354" spans="1:20" ht="15">
      <c r="A354" s="444" t="s">
        <v>814</v>
      </c>
      <c r="B354" s="253" t="s">
        <v>355</v>
      </c>
      <c r="C354" s="37"/>
      <c r="D354" s="37"/>
      <c r="E354" s="37"/>
      <c r="F354" s="15"/>
      <c r="G354" s="16"/>
      <c r="H354" s="17"/>
      <c r="I354" s="17"/>
      <c r="J354" s="15"/>
      <c r="K354" s="15"/>
      <c r="L354" s="18"/>
      <c r="M354" s="15"/>
      <c r="N354" s="303"/>
      <c r="O354" s="303"/>
      <c r="P354" s="34"/>
      <c r="Q354" s="34">
        <v>1937365.6016651602</v>
      </c>
      <c r="R354" s="341">
        <f>+Yhteenveto[[#This Row],[Kunnan  peruspalvelujen valtionosuus ]]+Yhteenveto[[#This Row],[Veroperustemuutoksista johtuvien veromenetysten korvaus]]+Yhteenveto[[#This Row],[Kotikuntakorvaus, netto (ei päivitetty)]]</f>
        <v>1937365.6016651602</v>
      </c>
      <c r="S354" s="11"/>
      <c r="T354"/>
    </row>
    <row r="355" spans="1:20" ht="15">
      <c r="A355" s="444" t="s">
        <v>815</v>
      </c>
      <c r="B355" s="253" t="s">
        <v>356</v>
      </c>
      <c r="C355" s="37"/>
      <c r="D355" s="37"/>
      <c r="E355" s="37"/>
      <c r="F355" s="15"/>
      <c r="G355" s="16"/>
      <c r="H355" s="17"/>
      <c r="I355" s="17"/>
      <c r="J355" s="15"/>
      <c r="K355" s="15"/>
      <c r="L355" s="18"/>
      <c r="M355" s="15"/>
      <c r="N355" s="303"/>
      <c r="O355" s="303"/>
      <c r="P355" s="34"/>
      <c r="Q355" s="34">
        <v>1128684.21161048</v>
      </c>
      <c r="R355" s="341">
        <f>+Yhteenveto[[#This Row],[Kunnan  peruspalvelujen valtionosuus ]]+Yhteenveto[[#This Row],[Veroperustemuutoksista johtuvien veromenetysten korvaus]]+Yhteenveto[[#This Row],[Kotikuntakorvaus, netto (ei päivitetty)]]</f>
        <v>1128684.21161048</v>
      </c>
      <c r="S355" s="11"/>
      <c r="T355"/>
    </row>
    <row r="356" spans="1:20" ht="15">
      <c r="A356" s="444" t="s">
        <v>816</v>
      </c>
      <c r="B356" s="253" t="s">
        <v>357</v>
      </c>
      <c r="C356" s="37"/>
      <c r="D356" s="37"/>
      <c r="E356" s="37"/>
      <c r="F356" s="15"/>
      <c r="G356" s="16"/>
      <c r="H356" s="17"/>
      <c r="I356" s="17"/>
      <c r="J356" s="15"/>
      <c r="K356" s="15"/>
      <c r="L356" s="18"/>
      <c r="M356" s="15"/>
      <c r="N356" s="303"/>
      <c r="O356" s="303"/>
      <c r="P356" s="34"/>
      <c r="Q356" s="34">
        <v>1080282.8736804</v>
      </c>
      <c r="R356" s="341">
        <f>+Yhteenveto[[#This Row],[Kunnan  peruspalvelujen valtionosuus ]]+Yhteenveto[[#This Row],[Veroperustemuutoksista johtuvien veromenetysten korvaus]]+Yhteenveto[[#This Row],[Kotikuntakorvaus, netto (ei päivitetty)]]</f>
        <v>1080282.8736804</v>
      </c>
      <c r="S356" s="11"/>
      <c r="T356"/>
    </row>
    <row r="357" spans="1:20" ht="15">
      <c r="A357" s="444" t="s">
        <v>817</v>
      </c>
      <c r="B357" s="253" t="s">
        <v>358</v>
      </c>
      <c r="C357" s="37"/>
      <c r="D357" s="37"/>
      <c r="E357" s="37"/>
      <c r="F357" s="15"/>
      <c r="G357" s="16"/>
      <c r="H357" s="17"/>
      <c r="I357" s="17"/>
      <c r="J357" s="15"/>
      <c r="K357" s="15"/>
      <c r="L357" s="18"/>
      <c r="M357" s="15"/>
      <c r="N357" s="303"/>
      <c r="O357" s="303"/>
      <c r="P357" s="34"/>
      <c r="Q357" s="34">
        <v>237633.07477719997</v>
      </c>
      <c r="R357" s="341">
        <f>+Yhteenveto[[#This Row],[Kunnan  peruspalvelujen valtionosuus ]]+Yhteenveto[[#This Row],[Veroperustemuutoksista johtuvien veromenetysten korvaus]]+Yhteenveto[[#This Row],[Kotikuntakorvaus, netto (ei päivitetty)]]</f>
        <v>237633.07477719997</v>
      </c>
      <c r="S357" s="11"/>
      <c r="T357"/>
    </row>
    <row r="358" spans="1:20" ht="15">
      <c r="A358" s="444" t="s">
        <v>818</v>
      </c>
      <c r="B358" s="253" t="s">
        <v>359</v>
      </c>
      <c r="C358" s="37"/>
      <c r="D358" s="37"/>
      <c r="E358" s="37"/>
      <c r="F358" s="15"/>
      <c r="G358" s="16"/>
      <c r="H358" s="17"/>
      <c r="I358" s="17"/>
      <c r="J358" s="15"/>
      <c r="K358" s="15"/>
      <c r="L358" s="18"/>
      <c r="M358" s="15"/>
      <c r="N358" s="303"/>
      <c r="O358" s="303"/>
      <c r="P358" s="34"/>
      <c r="Q358" s="34">
        <v>727623.72773803992</v>
      </c>
      <c r="R358" s="341">
        <f>+Yhteenveto[[#This Row],[Kunnan  peruspalvelujen valtionosuus ]]+Yhteenveto[[#This Row],[Veroperustemuutoksista johtuvien veromenetysten korvaus]]+Yhteenveto[[#This Row],[Kotikuntakorvaus, netto (ei päivitetty)]]</f>
        <v>727623.72773803992</v>
      </c>
      <c r="S358" s="11"/>
      <c r="T358"/>
    </row>
    <row r="359" spans="1:20" ht="15">
      <c r="A359" s="444" t="s">
        <v>819</v>
      </c>
      <c r="B359" s="253" t="s">
        <v>360</v>
      </c>
      <c r="C359" s="37"/>
      <c r="D359" s="37"/>
      <c r="E359" s="37"/>
      <c r="F359" s="15"/>
      <c r="G359" s="16"/>
      <c r="H359" s="17"/>
      <c r="I359" s="17"/>
      <c r="J359" s="15"/>
      <c r="K359" s="15"/>
      <c r="L359" s="18"/>
      <c r="M359" s="15"/>
      <c r="N359" s="303"/>
      <c r="O359" s="303"/>
      <c r="P359" s="34"/>
      <c r="Q359" s="34">
        <v>430072.12919800001</v>
      </c>
      <c r="R359" s="341">
        <f>+Yhteenveto[[#This Row],[Kunnan  peruspalvelujen valtionosuus ]]+Yhteenveto[[#This Row],[Veroperustemuutoksista johtuvien veromenetysten korvaus]]+Yhteenveto[[#This Row],[Kotikuntakorvaus, netto (ei päivitetty)]]</f>
        <v>430072.12919800001</v>
      </c>
      <c r="S359" s="11"/>
      <c r="T359"/>
    </row>
    <row r="360" spans="1:20" ht="15">
      <c r="A360" s="444" t="s">
        <v>820</v>
      </c>
      <c r="B360" s="253" t="s">
        <v>752</v>
      </c>
      <c r="C360" s="37"/>
      <c r="D360" s="37"/>
      <c r="E360" s="37"/>
      <c r="F360" s="15"/>
      <c r="G360" s="16"/>
      <c r="H360" s="17"/>
      <c r="I360" s="17"/>
      <c r="J360" s="15"/>
      <c r="K360" s="15"/>
      <c r="L360" s="18"/>
      <c r="M360" s="15"/>
      <c r="N360" s="303"/>
      <c r="O360" s="303"/>
      <c r="P360" s="34"/>
      <c r="Q360" s="34">
        <v>6018094.0655232007</v>
      </c>
      <c r="R360" s="341">
        <f>+Yhteenveto[[#This Row],[Kunnan  peruspalvelujen valtionosuus ]]+Yhteenveto[[#This Row],[Veroperustemuutoksista johtuvien veromenetysten korvaus]]+Yhteenveto[[#This Row],[Kotikuntakorvaus, netto (ei päivitetty)]]</f>
        <v>6018094.0655232007</v>
      </c>
      <c r="S360" s="11"/>
      <c r="T360"/>
    </row>
    <row r="361" spans="1:20" ht="15">
      <c r="A361" s="444" t="s">
        <v>821</v>
      </c>
      <c r="B361" s="253" t="s">
        <v>753</v>
      </c>
      <c r="C361" s="37"/>
      <c r="D361" s="37"/>
      <c r="E361" s="37"/>
      <c r="F361" s="15"/>
      <c r="G361" s="16"/>
      <c r="H361" s="17"/>
      <c r="I361" s="17"/>
      <c r="J361" s="15"/>
      <c r="K361" s="15"/>
      <c r="L361" s="18"/>
      <c r="M361" s="15"/>
      <c r="N361" s="303"/>
      <c r="O361" s="303"/>
      <c r="P361" s="34"/>
      <c r="Q361" s="34">
        <v>6169712.7144608013</v>
      </c>
      <c r="R361" s="341">
        <f>+Yhteenveto[[#This Row],[Kunnan  peruspalvelujen valtionosuus ]]+Yhteenveto[[#This Row],[Veroperustemuutoksista johtuvien veromenetysten korvaus]]+Yhteenveto[[#This Row],[Kotikuntakorvaus, netto (ei päivitetty)]]</f>
        <v>6169712.7144608013</v>
      </c>
      <c r="S361" s="11"/>
      <c r="T361"/>
    </row>
    <row r="362" spans="1:20" ht="15">
      <c r="A362" s="444" t="s">
        <v>822</v>
      </c>
      <c r="B362" s="253" t="s">
        <v>361</v>
      </c>
      <c r="C362" s="37"/>
      <c r="D362" s="37"/>
      <c r="E362" s="37"/>
      <c r="F362" s="15"/>
      <c r="G362" s="16"/>
      <c r="H362" s="17"/>
      <c r="I362" s="17"/>
      <c r="J362" s="15"/>
      <c r="K362" s="15"/>
      <c r="L362" s="18"/>
      <c r="M362" s="15"/>
      <c r="N362" s="303"/>
      <c r="O362" s="303"/>
      <c r="P362" s="34"/>
      <c r="Q362" s="34">
        <v>5352377.3782499991</v>
      </c>
      <c r="R362" s="341">
        <f>+Yhteenveto[[#This Row],[Kunnan  peruspalvelujen valtionosuus ]]+Yhteenveto[[#This Row],[Veroperustemuutoksista johtuvien veromenetysten korvaus]]+Yhteenveto[[#This Row],[Kotikuntakorvaus, netto (ei päivitetty)]]</f>
        <v>5352377.3782499991</v>
      </c>
      <c r="S362" s="11"/>
      <c r="T362"/>
    </row>
    <row r="363" spans="1:20" ht="15">
      <c r="A363" s="444" t="s">
        <v>823</v>
      </c>
      <c r="B363" s="253" t="s">
        <v>362</v>
      </c>
      <c r="C363" s="37"/>
      <c r="D363" s="37"/>
      <c r="E363" s="37"/>
      <c r="F363" s="15"/>
      <c r="G363" s="16"/>
      <c r="H363" s="17"/>
      <c r="I363" s="17"/>
      <c r="J363" s="15"/>
      <c r="K363" s="15"/>
      <c r="L363" s="18"/>
      <c r="M363" s="15"/>
      <c r="N363" s="303"/>
      <c r="O363" s="303"/>
      <c r="P363" s="34"/>
      <c r="Q363" s="34">
        <v>4386320.0645399988</v>
      </c>
      <c r="R363" s="341">
        <f>+Yhteenveto[[#This Row],[Kunnan  peruspalvelujen valtionosuus ]]+Yhteenveto[[#This Row],[Veroperustemuutoksista johtuvien veromenetysten korvaus]]+Yhteenveto[[#This Row],[Kotikuntakorvaus, netto (ei päivitetty)]]</f>
        <v>4386320.0645399988</v>
      </c>
      <c r="S363" s="11"/>
      <c r="T363"/>
    </row>
    <row r="364" spans="1:20" ht="15">
      <c r="A364" s="444" t="s">
        <v>824</v>
      </c>
      <c r="B364" s="253" t="s">
        <v>364</v>
      </c>
      <c r="C364" s="37"/>
      <c r="D364" s="37"/>
      <c r="E364" s="37"/>
      <c r="F364" s="15"/>
      <c r="G364" s="16"/>
      <c r="H364" s="17"/>
      <c r="I364" s="17"/>
      <c r="J364" s="15"/>
      <c r="K364" s="15"/>
      <c r="L364" s="18"/>
      <c r="M364" s="15"/>
      <c r="N364" s="303"/>
      <c r="O364" s="303"/>
      <c r="P364" s="34"/>
      <c r="Q364" s="34">
        <v>1599998.6820500002</v>
      </c>
      <c r="R364" s="341">
        <f>+Yhteenveto[[#This Row],[Kunnan  peruspalvelujen valtionosuus ]]+Yhteenveto[[#This Row],[Veroperustemuutoksista johtuvien veromenetysten korvaus]]+Yhteenveto[[#This Row],[Kotikuntakorvaus, netto (ei päivitetty)]]</f>
        <v>1599998.6820500002</v>
      </c>
      <c r="S364" s="11"/>
      <c r="T364"/>
    </row>
    <row r="365" spans="1:20" ht="15">
      <c r="A365" s="444" t="s">
        <v>825</v>
      </c>
      <c r="B365" s="253" t="s">
        <v>365</v>
      </c>
      <c r="C365" s="37"/>
      <c r="D365" s="37"/>
      <c r="E365" s="37"/>
      <c r="F365" s="15"/>
      <c r="G365" s="16"/>
      <c r="H365" s="17"/>
      <c r="I365" s="17"/>
      <c r="J365" s="15"/>
      <c r="K365" s="15"/>
      <c r="L365" s="18"/>
      <c r="M365" s="15"/>
      <c r="N365" s="303"/>
      <c r="O365" s="303"/>
      <c r="P365" s="34"/>
      <c r="Q365" s="34">
        <v>2769899.9927999997</v>
      </c>
      <c r="R365" s="341">
        <f>+Yhteenveto[[#This Row],[Kunnan  peruspalvelujen valtionosuus ]]+Yhteenveto[[#This Row],[Veroperustemuutoksista johtuvien veromenetysten korvaus]]+Yhteenveto[[#This Row],[Kotikuntakorvaus, netto (ei päivitetty)]]</f>
        <v>2769899.9927999997</v>
      </c>
      <c r="S365" s="11"/>
      <c r="T365"/>
    </row>
    <row r="366" spans="1:20" ht="15">
      <c r="A366" s="444" t="s">
        <v>826</v>
      </c>
      <c r="B366" s="253" t="s">
        <v>363</v>
      </c>
      <c r="C366" s="37"/>
      <c r="D366" s="37"/>
      <c r="E366" s="37"/>
      <c r="F366" s="15"/>
      <c r="G366" s="16"/>
      <c r="H366" s="17"/>
      <c r="I366" s="17"/>
      <c r="J366" s="15"/>
      <c r="K366" s="15"/>
      <c r="L366" s="18"/>
      <c r="M366" s="15"/>
      <c r="N366" s="303"/>
      <c r="O366" s="303"/>
      <c r="P366" s="34"/>
      <c r="Q366" s="34">
        <v>713790.55100000021</v>
      </c>
      <c r="R366" s="341">
        <f>+Yhteenveto[[#This Row],[Kunnan  peruspalvelujen valtionosuus ]]+Yhteenveto[[#This Row],[Veroperustemuutoksista johtuvien veromenetysten korvaus]]+Yhteenveto[[#This Row],[Kotikuntakorvaus, netto (ei päivitetty)]]</f>
        <v>713790.55100000021</v>
      </c>
      <c r="S366" s="11"/>
      <c r="T366"/>
    </row>
    <row r="367" spans="1:20" ht="15">
      <c r="A367" s="444" t="s">
        <v>827</v>
      </c>
      <c r="B367" s="253" t="s">
        <v>754</v>
      </c>
      <c r="C367" s="37"/>
      <c r="D367" s="37"/>
      <c r="E367" s="37"/>
      <c r="F367" s="15"/>
      <c r="G367" s="16"/>
      <c r="H367" s="17"/>
      <c r="I367" s="17"/>
      <c r="J367" s="15"/>
      <c r="K367" s="15"/>
      <c r="L367" s="18"/>
      <c r="M367" s="15"/>
      <c r="N367" s="303"/>
      <c r="O367" s="303"/>
      <c r="P367" s="34"/>
      <c r="Q367" s="34">
        <v>621306.29394999996</v>
      </c>
      <c r="R367" s="341">
        <f>+Yhteenveto[[#This Row],[Kunnan  peruspalvelujen valtionosuus ]]+Yhteenveto[[#This Row],[Veroperustemuutoksista johtuvien veromenetysten korvaus]]+Yhteenveto[[#This Row],[Kotikuntakorvaus, netto (ei päivitetty)]]</f>
        <v>621306.29394999996</v>
      </c>
      <c r="S367" s="11"/>
      <c r="T367"/>
    </row>
    <row r="368" spans="1:20" ht="15">
      <c r="A368" s="444" t="s">
        <v>828</v>
      </c>
      <c r="B368" s="253" t="s">
        <v>704</v>
      </c>
      <c r="C368" s="37"/>
      <c r="D368" s="37"/>
      <c r="E368" s="37"/>
      <c r="F368" s="15"/>
      <c r="G368" s="16"/>
      <c r="H368" s="17"/>
      <c r="I368" s="17"/>
      <c r="J368" s="15"/>
      <c r="K368" s="15"/>
      <c r="L368" s="18"/>
      <c r="M368" s="15"/>
      <c r="N368" s="303"/>
      <c r="O368" s="303"/>
      <c r="P368" s="34"/>
      <c r="Q368" s="34">
        <v>11496775.6300184</v>
      </c>
      <c r="R368" s="341">
        <f>+Yhteenveto[[#This Row],[Kunnan  peruspalvelujen valtionosuus ]]+Yhteenveto[[#This Row],[Veroperustemuutoksista johtuvien veromenetysten korvaus]]+Yhteenveto[[#This Row],[Kotikuntakorvaus, netto (ei päivitetty)]]</f>
        <v>11496775.6300184</v>
      </c>
      <c r="S368" s="11"/>
      <c r="T368"/>
    </row>
    <row r="369" spans="1:20" s="45" customFormat="1" ht="15">
      <c r="A369" s="46" t="s">
        <v>829</v>
      </c>
      <c r="B369" s="446" t="s">
        <v>705</v>
      </c>
      <c r="C369" s="39"/>
      <c r="D369" s="39"/>
      <c r="E369" s="39"/>
      <c r="F369" s="15"/>
      <c r="G369" s="40"/>
      <c r="H369" s="41"/>
      <c r="I369" s="41"/>
      <c r="J369" s="15"/>
      <c r="K369" s="15"/>
      <c r="L369" s="42"/>
      <c r="M369" s="15"/>
      <c r="N369" s="303"/>
      <c r="O369" s="303"/>
      <c r="P369" s="34"/>
      <c r="Q369" s="34">
        <v>6535638.4921851996</v>
      </c>
      <c r="R369" s="341">
        <f>+Yhteenveto[[#This Row],[Kunnan  peruspalvelujen valtionosuus ]]+Yhteenveto[[#This Row],[Veroperustemuutoksista johtuvien veromenetysten korvaus]]+Yhteenveto[[#This Row],[Kotikuntakorvaus, netto (ei päivitetty)]]</f>
        <v>6535638.4921851996</v>
      </c>
      <c r="S369" s="44"/>
    </row>
    <row r="370" spans="1:20" ht="15">
      <c r="A370" s="444" t="s">
        <v>830</v>
      </c>
      <c r="B370" s="253" t="s">
        <v>706</v>
      </c>
      <c r="C370" s="37"/>
      <c r="D370" s="37"/>
      <c r="E370" s="37"/>
      <c r="F370" s="15"/>
      <c r="G370" s="16"/>
      <c r="H370" s="17"/>
      <c r="I370" s="17"/>
      <c r="J370" s="15"/>
      <c r="K370" s="15"/>
      <c r="L370" s="18"/>
      <c r="M370" s="15"/>
      <c r="N370" s="303"/>
      <c r="O370" s="303"/>
      <c r="P370" s="34"/>
      <c r="Q370" s="34">
        <v>7319973.4261124004</v>
      </c>
      <c r="R370" s="341">
        <f>+Yhteenveto[[#This Row],[Kunnan  peruspalvelujen valtionosuus ]]+Yhteenveto[[#This Row],[Veroperustemuutoksista johtuvien veromenetysten korvaus]]+Yhteenveto[[#This Row],[Kotikuntakorvaus, netto (ei päivitetty)]]</f>
        <v>7319973.4261124004</v>
      </c>
      <c r="S370" s="11"/>
      <c r="T370"/>
    </row>
    <row r="371" spans="1:20" ht="15">
      <c r="A371" s="444" t="s">
        <v>831</v>
      </c>
      <c r="B371" s="253" t="s">
        <v>714</v>
      </c>
      <c r="C371" s="37"/>
      <c r="D371" s="37"/>
      <c r="E371" s="37"/>
      <c r="F371" s="15"/>
      <c r="G371" s="16"/>
      <c r="H371" s="17"/>
      <c r="I371" s="17"/>
      <c r="J371" s="15"/>
      <c r="K371" s="15"/>
      <c r="L371" s="18"/>
      <c r="M371" s="15"/>
      <c r="N371" s="303"/>
      <c r="O371" s="303"/>
      <c r="P371" s="34"/>
      <c r="Q371" s="34">
        <v>6134723.7954751998</v>
      </c>
      <c r="R371" s="341">
        <f>+Yhteenveto[[#This Row],[Kunnan  peruspalvelujen valtionosuus ]]+Yhteenveto[[#This Row],[Veroperustemuutoksista johtuvien veromenetysten korvaus]]+Yhteenveto[[#This Row],[Kotikuntakorvaus, netto (ei päivitetty)]]</f>
        <v>6134723.7954751998</v>
      </c>
      <c r="S371" s="11"/>
      <c r="T371"/>
    </row>
    <row r="372" spans="1:20" ht="15">
      <c r="A372" s="444" t="s">
        <v>832</v>
      </c>
      <c r="B372" s="253" t="s">
        <v>707</v>
      </c>
      <c r="C372" s="37"/>
      <c r="D372" s="37"/>
      <c r="E372" s="37"/>
      <c r="F372" s="15"/>
      <c r="G372" s="16"/>
      <c r="H372" s="17"/>
      <c r="I372" s="17"/>
      <c r="J372" s="15"/>
      <c r="K372" s="15"/>
      <c r="L372" s="18"/>
      <c r="M372" s="15"/>
      <c r="N372" s="303"/>
      <c r="O372" s="303"/>
      <c r="P372" s="34"/>
      <c r="Q372" s="34">
        <v>8414835.0160367992</v>
      </c>
      <c r="R372" s="341">
        <f>+Yhteenveto[[#This Row],[Kunnan  peruspalvelujen valtionosuus ]]+Yhteenveto[[#This Row],[Veroperustemuutoksista johtuvien veromenetysten korvaus]]+Yhteenveto[[#This Row],[Kotikuntakorvaus, netto (ei päivitetty)]]</f>
        <v>8414835.0160367992</v>
      </c>
      <c r="S372" s="11"/>
      <c r="T372"/>
    </row>
    <row r="373" spans="1:20" ht="15">
      <c r="A373" s="444" t="s">
        <v>833</v>
      </c>
      <c r="B373" s="253" t="s">
        <v>708</v>
      </c>
      <c r="C373" s="37"/>
      <c r="D373" s="37"/>
      <c r="E373" s="37"/>
      <c r="F373" s="15"/>
      <c r="G373" s="16"/>
      <c r="H373" s="17"/>
      <c r="I373" s="17"/>
      <c r="J373" s="15"/>
      <c r="K373" s="15"/>
      <c r="L373" s="18"/>
      <c r="M373" s="15"/>
      <c r="N373" s="303"/>
      <c r="O373" s="303"/>
      <c r="P373" s="34"/>
      <c r="Q373" s="34">
        <v>4640405.3804652002</v>
      </c>
      <c r="R373" s="341">
        <f>+Yhteenveto[[#This Row],[Kunnan  peruspalvelujen valtionosuus ]]+Yhteenveto[[#This Row],[Veroperustemuutoksista johtuvien veromenetysten korvaus]]+Yhteenveto[[#This Row],[Kotikuntakorvaus, netto (ei päivitetty)]]</f>
        <v>4640405.3804652002</v>
      </c>
      <c r="S373" s="11"/>
      <c r="T373"/>
    </row>
    <row r="374" spans="1:20" ht="15">
      <c r="A374" s="444" t="s">
        <v>834</v>
      </c>
      <c r="B374" s="253" t="s">
        <v>366</v>
      </c>
      <c r="C374" s="37"/>
      <c r="D374" s="37"/>
      <c r="E374" s="37"/>
      <c r="F374" s="15"/>
      <c r="G374" s="16"/>
      <c r="H374" s="17"/>
      <c r="I374" s="17"/>
      <c r="J374" s="15"/>
      <c r="K374" s="15"/>
      <c r="L374" s="18"/>
      <c r="M374" s="15"/>
      <c r="N374" s="303"/>
      <c r="O374" s="303"/>
      <c r="P374" s="34"/>
      <c r="Q374" s="34">
        <v>8863859.4763520006</v>
      </c>
      <c r="R374" s="341">
        <f>+Yhteenveto[[#This Row],[Kunnan  peruspalvelujen valtionosuus ]]+Yhteenveto[[#This Row],[Veroperustemuutoksista johtuvien veromenetysten korvaus]]+Yhteenveto[[#This Row],[Kotikuntakorvaus, netto (ei päivitetty)]]</f>
        <v>8863859.4763520006</v>
      </c>
      <c r="S374" s="11"/>
      <c r="T374"/>
    </row>
    <row r="375" spans="1:20" ht="15">
      <c r="A375" s="444" t="s">
        <v>835</v>
      </c>
      <c r="B375" s="253" t="s">
        <v>709</v>
      </c>
      <c r="C375" s="37"/>
      <c r="D375" s="37"/>
      <c r="E375" s="37"/>
      <c r="F375" s="15"/>
      <c r="G375" s="16"/>
      <c r="H375" s="17"/>
      <c r="I375" s="17"/>
      <c r="J375" s="15"/>
      <c r="K375" s="15"/>
      <c r="L375" s="18"/>
      <c r="M375" s="15"/>
      <c r="N375" s="303"/>
      <c r="O375" s="303"/>
      <c r="P375" s="34"/>
      <c r="Q375" s="34">
        <v>4701635.98869</v>
      </c>
      <c r="R375" s="341">
        <f>+Yhteenveto[[#This Row],[Kunnan  peruspalvelujen valtionosuus ]]+Yhteenveto[[#This Row],[Veroperustemuutoksista johtuvien veromenetysten korvaus]]+Yhteenveto[[#This Row],[Kotikuntakorvaus, netto (ei päivitetty)]]</f>
        <v>4701635.98869</v>
      </c>
      <c r="S375" s="11"/>
      <c r="T375"/>
    </row>
    <row r="376" spans="1:20">
      <c r="A376" s="47"/>
      <c r="B376" s="48"/>
      <c r="C376" s="49"/>
      <c r="D376" s="49"/>
      <c r="E376" s="49"/>
      <c r="N376" s="113"/>
      <c r="O376" s="113"/>
      <c r="P376" s="340"/>
      <c r="Q376" s="113"/>
      <c r="R376" s="70"/>
      <c r="S376" s="25"/>
    </row>
    <row r="377" spans="1:20">
      <c r="A377" s="47"/>
      <c r="B377" s="48"/>
      <c r="C377" s="49"/>
      <c r="D377" s="49"/>
      <c r="E377" s="49"/>
      <c r="N377" s="113"/>
      <c r="O377" s="113"/>
      <c r="P377" s="340"/>
      <c r="Q377" s="113"/>
      <c r="R377" s="70"/>
      <c r="S377" s="25"/>
    </row>
    <row r="378" spans="1:20">
      <c r="A378" s="52"/>
      <c r="N378" s="113"/>
      <c r="O378" s="113"/>
      <c r="P378" s="340"/>
      <c r="Q378" s="113"/>
      <c r="R378" s="70"/>
      <c r="S378" s="25"/>
    </row>
    <row r="379" spans="1:20">
      <c r="A379" s="52"/>
      <c r="P379" s="340"/>
      <c r="R379" s="70"/>
    </row>
    <row r="380" spans="1:20">
      <c r="A380" s="52"/>
      <c r="P380" s="340"/>
      <c r="R380" s="70"/>
    </row>
    <row r="381" spans="1:20">
      <c r="A381" s="52"/>
      <c r="P381" s="340"/>
      <c r="R381" s="70"/>
    </row>
    <row r="382" spans="1:20">
      <c r="A382" s="52"/>
      <c r="P382" s="340"/>
      <c r="R382" s="70"/>
    </row>
    <row r="383" spans="1:20">
      <c r="A383" s="52"/>
      <c r="R383" s="70"/>
    </row>
    <row r="384" spans="1:20">
      <c r="A384" s="52"/>
      <c r="R384" s="70"/>
    </row>
    <row r="385" spans="1:18">
      <c r="A385" s="52"/>
      <c r="R385" s="70"/>
    </row>
    <row r="386" spans="1:18">
      <c r="A386" s="52"/>
      <c r="R386" s="70"/>
    </row>
    <row r="387" spans="1:18">
      <c r="A387" s="52"/>
      <c r="R387" s="70"/>
    </row>
    <row r="388" spans="1:18">
      <c r="A388" s="53"/>
      <c r="R388" s="70"/>
    </row>
    <row r="389" spans="1:18">
      <c r="A389" s="53"/>
      <c r="B389" s="54"/>
      <c r="R389" s="70"/>
    </row>
    <row r="390" spans="1:18">
      <c r="A390" s="53"/>
      <c r="B390" s="55"/>
    </row>
    <row r="391" spans="1:18">
      <c r="A391" s="53"/>
    </row>
    <row r="392" spans="1:18">
      <c r="A392" s="53"/>
    </row>
    <row r="393" spans="1:18">
      <c r="A393" s="53"/>
      <c r="C393" s="7"/>
      <c r="D393" s="7"/>
      <c r="E393" s="7"/>
    </row>
    <row r="394" spans="1:18">
      <c r="A394" s="53"/>
      <c r="B394" s="54"/>
      <c r="C394" s="7"/>
      <c r="D394" s="7"/>
      <c r="E394" s="7"/>
    </row>
    <row r="395" spans="1:18">
      <c r="A395" s="53"/>
      <c r="B395" s="56"/>
      <c r="C395" s="7"/>
      <c r="D395" s="7"/>
      <c r="E395" s="7"/>
    </row>
    <row r="396" spans="1:18">
      <c r="A396" s="57"/>
      <c r="B396" s="56"/>
      <c r="C396" s="7"/>
      <c r="D396" s="7"/>
      <c r="E396" s="7"/>
    </row>
    <row r="397" spans="1:18">
      <c r="A397" s="53"/>
      <c r="B397" s="54"/>
      <c r="C397" s="7"/>
      <c r="D397" s="7"/>
      <c r="E397" s="7"/>
    </row>
    <row r="398" spans="1:18">
      <c r="A398" s="53"/>
      <c r="C398" s="7"/>
      <c r="D398" s="7"/>
      <c r="E398" s="7"/>
    </row>
    <row r="399" spans="1:18">
      <c r="A399" s="53"/>
      <c r="C399" s="7"/>
      <c r="D399" s="7"/>
      <c r="E399" s="7"/>
    </row>
    <row r="400" spans="1:18">
      <c r="A400" s="57"/>
    </row>
    <row r="401" spans="1:2">
      <c r="A401" s="53"/>
    </row>
    <row r="402" spans="1:2">
      <c r="A402" s="53"/>
    </row>
    <row r="403" spans="1:2">
      <c r="A403" s="53"/>
    </row>
    <row r="404" spans="1:2">
      <c r="A404" s="53"/>
      <c r="B404" s="55"/>
    </row>
  </sheetData>
  <pageMargins left="0.51181102362204722" right="0.51181102362204722" top="0.55118110236220474" bottom="0.55118110236220474" header="0.31496062992125984" footer="0.31496062992125984"/>
  <pageSetup paperSize="9" scale="65" orientation="landscape" r:id="rId1"/>
  <ignoredErrors>
    <ignoredError sqref="R6:R7 R8:R375" calculatedColumn="1"/>
    <ignoredError sqref="A300:A375"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06"/>
  <sheetViews>
    <sheetView zoomScale="90" zoomScaleNormal="90" workbookViewId="0">
      <pane xSplit="2" ySplit="6" topLeftCell="C7" activePane="bottomRight" state="frozen"/>
      <selection activeCell="G29" sqref="G29"/>
      <selection pane="topRight" activeCell="G29" sqref="G29"/>
      <selection pane="bottomLeft" activeCell="G29" sqref="G29"/>
      <selection pane="bottomRight" activeCell="O33" sqref="O33"/>
    </sheetView>
  </sheetViews>
  <sheetFormatPr defaultRowHeight="15"/>
  <cols>
    <col min="1" max="1" width="10.375" style="127" customWidth="1"/>
    <col min="2" max="2" width="17.625" style="124" bestFit="1" customWidth="1"/>
    <col min="3" max="3" width="11.625" style="36" bestFit="1" customWidth="1"/>
    <col min="4" max="8" width="10.625" style="131" customWidth="1"/>
    <col min="9" max="9" width="9.625" bestFit="1" customWidth="1"/>
    <col min="10" max="10" width="22.5" style="137" customWidth="1"/>
    <col min="11" max="11" width="13.5" style="130" bestFit="1" customWidth="1"/>
    <col min="12" max="13" width="15.5" style="130" bestFit="1" customWidth="1"/>
    <col min="14" max="14" width="13.875" style="130" bestFit="1" customWidth="1"/>
    <col min="15" max="15" width="13.875" style="130" customWidth="1"/>
    <col min="16" max="16" width="27.125" style="139" customWidth="1"/>
    <col min="17" max="17" width="4.125" style="62" customWidth="1"/>
    <col min="18" max="18" width="17.5" style="62" customWidth="1"/>
    <col min="19" max="19" width="9" style="62" customWidth="1"/>
    <col min="20" max="20" width="9.125" style="62" customWidth="1"/>
    <col min="21" max="21" width="10" style="62" customWidth="1"/>
    <col min="22" max="22" width="9.5" style="62" customWidth="1"/>
    <col min="23" max="23" width="10" style="62" customWidth="1"/>
    <col min="24" max="24" width="9.625" style="62" customWidth="1"/>
    <col min="25" max="25" width="8.875" style="62" customWidth="1"/>
    <col min="26" max="26" width="8.625" style="62" bestFit="1" customWidth="1"/>
    <col min="27" max="27" width="9.375" style="62" customWidth="1"/>
    <col min="28" max="28" width="11.125" style="62" bestFit="1" customWidth="1"/>
    <col min="29" max="29" width="10.625" style="62" bestFit="1" customWidth="1"/>
    <col min="30" max="30" width="9.625" style="62" bestFit="1" customWidth="1"/>
    <col min="31" max="43" width="8.625" style="62"/>
  </cols>
  <sheetData>
    <row r="1" spans="1:43" ht="23.25">
      <c r="A1" s="312" t="s">
        <v>848</v>
      </c>
      <c r="B1" s="125"/>
      <c r="D1" s="126"/>
      <c r="E1" s="126"/>
      <c r="F1" s="126"/>
      <c r="G1" s="126"/>
      <c r="H1" s="126"/>
      <c r="J1" s="144" t="s">
        <v>368</v>
      </c>
      <c r="K1" s="147"/>
      <c r="L1" s="148"/>
      <c r="M1" s="148"/>
      <c r="N1" s="148"/>
      <c r="O1" s="148"/>
      <c r="P1" s="41"/>
      <c r="Q1" s="43"/>
      <c r="R1" s="366"/>
      <c r="S1" s="64"/>
      <c r="T1" s="64"/>
      <c r="U1" s="64"/>
      <c r="V1" s="64"/>
      <c r="W1" s="64"/>
      <c r="X1" s="64"/>
      <c r="Y1" s="64"/>
      <c r="Z1" s="64"/>
      <c r="AA1" s="64"/>
      <c r="AB1" s="65"/>
    </row>
    <row r="2" spans="1:43">
      <c r="A2" s="124" t="s">
        <v>367</v>
      </c>
      <c r="C2" s="129"/>
      <c r="D2" s="128"/>
      <c r="E2" s="128"/>
      <c r="F2" s="128"/>
      <c r="G2" s="128"/>
      <c r="H2" s="128"/>
      <c r="J2" s="213" t="s">
        <v>671</v>
      </c>
      <c r="K2" s="213" t="s">
        <v>370</v>
      </c>
      <c r="L2" s="213" t="s">
        <v>672</v>
      </c>
      <c r="M2" s="213" t="s">
        <v>673</v>
      </c>
      <c r="N2" s="203" t="s">
        <v>722</v>
      </c>
      <c r="O2" s="203" t="s">
        <v>850</v>
      </c>
      <c r="P2" s="145"/>
    </row>
    <row r="3" spans="1:43">
      <c r="A3" s="127" t="s">
        <v>1</v>
      </c>
      <c r="B3" s="133">
        <v>293</v>
      </c>
      <c r="C3" s="333"/>
      <c r="D3" s="333"/>
      <c r="E3" s="333"/>
      <c r="F3" s="333"/>
      <c r="G3" s="333"/>
      <c r="H3" s="333"/>
      <c r="J3" s="320">
        <v>8159.23</v>
      </c>
      <c r="K3" s="320">
        <v>8657.76</v>
      </c>
      <c r="L3" s="320">
        <v>7231.11</v>
      </c>
      <c r="M3" s="320">
        <v>12423.61</v>
      </c>
      <c r="N3" s="320">
        <v>63.85</v>
      </c>
      <c r="O3" s="320">
        <v>80.3</v>
      </c>
      <c r="P3" s="160"/>
      <c r="R3" s="43"/>
      <c r="S3" s="67"/>
      <c r="T3" s="67"/>
      <c r="U3" s="67"/>
      <c r="V3" s="67"/>
      <c r="W3" s="67"/>
      <c r="X3" s="67"/>
      <c r="Y3" s="61"/>
      <c r="Z3" s="61"/>
      <c r="AA3" s="61"/>
      <c r="AB3" s="68"/>
    </row>
    <row r="4" spans="1:43">
      <c r="A4" s="142"/>
      <c r="B4" s="142"/>
      <c r="C4" s="140" t="s">
        <v>661</v>
      </c>
      <c r="D4" s="336"/>
      <c r="E4" s="336"/>
      <c r="F4" s="141"/>
      <c r="G4" s="141"/>
      <c r="H4" s="141"/>
      <c r="I4" s="141"/>
      <c r="J4" s="319" t="s">
        <v>670</v>
      </c>
      <c r="K4" s="318"/>
      <c r="L4" s="318"/>
      <c r="M4" s="318"/>
      <c r="N4" s="318"/>
      <c r="O4" s="318"/>
      <c r="P4" s="143"/>
      <c r="R4" s="69"/>
      <c r="S4" s="68"/>
      <c r="T4" s="68"/>
      <c r="U4" s="68"/>
      <c r="V4" s="68"/>
      <c r="W4" s="68"/>
      <c r="X4" s="68"/>
      <c r="Y4" s="68"/>
      <c r="Z4" s="68"/>
      <c r="AA4" s="68"/>
      <c r="AB4" s="68"/>
      <c r="AC4" s="68"/>
      <c r="AD4" s="72"/>
      <c r="AE4" s="73"/>
      <c r="AF4" s="74"/>
      <c r="AH4" s="71"/>
      <c r="AI4" s="75"/>
      <c r="AJ4" s="75"/>
    </row>
    <row r="5" spans="1:43" s="212" customFormat="1" ht="30">
      <c r="A5" s="198" t="s">
        <v>669</v>
      </c>
      <c r="B5" s="199" t="s">
        <v>3</v>
      </c>
      <c r="C5" s="201" t="s">
        <v>375</v>
      </c>
      <c r="D5" s="200" t="s">
        <v>718</v>
      </c>
      <c r="E5" s="200" t="s">
        <v>719</v>
      </c>
      <c r="F5" s="200" t="s">
        <v>720</v>
      </c>
      <c r="G5" s="200" t="s">
        <v>721</v>
      </c>
      <c r="H5" s="200" t="s">
        <v>717</v>
      </c>
      <c r="I5" s="200" t="s">
        <v>849</v>
      </c>
      <c r="J5" s="202" t="s">
        <v>671</v>
      </c>
      <c r="K5" s="203" t="s">
        <v>370</v>
      </c>
      <c r="L5" s="203" t="s">
        <v>672</v>
      </c>
      <c r="M5" s="203" t="s">
        <v>673</v>
      </c>
      <c r="N5" s="203" t="s">
        <v>722</v>
      </c>
      <c r="O5" s="203" t="s">
        <v>850</v>
      </c>
      <c r="P5" s="204" t="s">
        <v>668</v>
      </c>
      <c r="Q5" s="205"/>
      <c r="R5" s="206"/>
      <c r="S5" s="207"/>
      <c r="T5" s="207"/>
      <c r="U5" s="207"/>
      <c r="V5" s="207"/>
      <c r="W5" s="207"/>
      <c r="X5" s="207"/>
      <c r="Y5" s="207"/>
      <c r="Z5" s="207"/>
      <c r="AA5" s="207"/>
      <c r="AB5" s="207"/>
      <c r="AC5" s="207"/>
      <c r="AD5" s="208"/>
      <c r="AE5" s="209"/>
      <c r="AF5" s="210"/>
      <c r="AG5" s="205"/>
      <c r="AH5" s="205"/>
      <c r="AI5" s="211"/>
      <c r="AJ5" s="211"/>
      <c r="AK5" s="205"/>
      <c r="AL5" s="205"/>
      <c r="AM5" s="205"/>
      <c r="AN5" s="205"/>
      <c r="AO5" s="205"/>
      <c r="AP5" s="205"/>
      <c r="AQ5" s="205"/>
    </row>
    <row r="6" spans="1:43">
      <c r="B6" s="124" t="s">
        <v>371</v>
      </c>
      <c r="C6" s="38">
        <f>SUM(C7:C299)</f>
        <v>5573310</v>
      </c>
      <c r="D6" s="38">
        <f>SUM(D7:D299)</f>
        <v>283842</v>
      </c>
      <c r="E6" s="38">
        <f t="shared" ref="E6:I6" si="0">SUM(E7:E299)</f>
        <v>52740</v>
      </c>
      <c r="F6" s="38">
        <f t="shared" si="0"/>
        <v>362111</v>
      </c>
      <c r="G6" s="38">
        <f t="shared" si="0"/>
        <v>191944</v>
      </c>
      <c r="H6" s="38">
        <f t="shared" si="0"/>
        <v>4682673</v>
      </c>
      <c r="I6" s="38">
        <f t="shared" si="0"/>
        <v>3255053</v>
      </c>
      <c r="J6" s="135">
        <f t="shared" ref="J6:O6" si="1">SUM(J7:J299)</f>
        <v>2315932161.6600003</v>
      </c>
      <c r="K6" s="135">
        <f t="shared" si="1"/>
        <v>456610262.40000021</v>
      </c>
      <c r="L6" s="135">
        <f t="shared" si="1"/>
        <v>2618464473.21</v>
      </c>
      <c r="M6" s="135">
        <f t="shared" si="1"/>
        <v>2384637397.8400006</v>
      </c>
      <c r="N6" s="135">
        <f t="shared" si="1"/>
        <v>298988671.05000013</v>
      </c>
      <c r="O6" s="135">
        <f t="shared" si="1"/>
        <v>261380755.90000001</v>
      </c>
      <c r="P6" s="177">
        <f>SUM(P7:P299)</f>
        <v>8336013722.0599976</v>
      </c>
      <c r="R6" s="69"/>
      <c r="S6" s="68"/>
      <c r="T6" s="68"/>
      <c r="U6" s="68"/>
      <c r="V6" s="68"/>
      <c r="W6" s="68"/>
      <c r="X6" s="68"/>
      <c r="Y6" s="68"/>
      <c r="Z6" s="68"/>
      <c r="AA6" s="68"/>
      <c r="AB6" s="68"/>
      <c r="AC6" s="68"/>
    </row>
    <row r="7" spans="1:43">
      <c r="A7" s="127">
        <v>5</v>
      </c>
      <c r="B7" s="124" t="s">
        <v>12</v>
      </c>
      <c r="C7" s="38">
        <f>SUM(Ikärakenne[[#This Row],[0–5-vuotiaat]:[16 vuotta täyttäneet]])</f>
        <v>9113</v>
      </c>
      <c r="D7" s="41">
        <v>454</v>
      </c>
      <c r="E7" s="41">
        <v>99</v>
      </c>
      <c r="F7" s="41">
        <v>659</v>
      </c>
      <c r="G7" s="41">
        <v>395</v>
      </c>
      <c r="H7" s="41">
        <v>7506</v>
      </c>
      <c r="I7" s="41">
        <v>4453</v>
      </c>
      <c r="J7" s="136">
        <v>3704290.42</v>
      </c>
      <c r="K7" s="136">
        <v>857118.24</v>
      </c>
      <c r="L7" s="136">
        <v>4765301.49</v>
      </c>
      <c r="M7" s="136">
        <v>4907325.95</v>
      </c>
      <c r="N7" s="136">
        <v>479258.10000000003</v>
      </c>
      <c r="O7" s="136">
        <v>357575.89999999997</v>
      </c>
      <c r="P7" s="178">
        <f>SUM(Ikärakenne[[#This Row],[Ikä 0–5]:[Ikä 18-64]])</f>
        <v>15070870.100000001</v>
      </c>
      <c r="R7" s="43"/>
      <c r="S7" s="76"/>
      <c r="T7" s="76"/>
      <c r="U7" s="76"/>
      <c r="V7" s="76"/>
      <c r="W7" s="76"/>
      <c r="X7" s="76"/>
      <c r="Y7" s="76"/>
      <c r="Z7" s="76"/>
      <c r="AA7" s="76"/>
      <c r="AB7" s="76"/>
    </row>
    <row r="8" spans="1:43">
      <c r="A8" s="127">
        <v>9</v>
      </c>
      <c r="B8" s="124" t="s">
        <v>13</v>
      </c>
      <c r="C8" s="38">
        <f>SUM(Ikärakenne[[#This Row],[0–5-vuotiaat]:[16 vuotta täyttäneet]])</f>
        <v>2437</v>
      </c>
      <c r="D8" s="41">
        <v>140</v>
      </c>
      <c r="E8" s="41">
        <v>29</v>
      </c>
      <c r="F8" s="41">
        <v>206</v>
      </c>
      <c r="G8" s="41">
        <v>115</v>
      </c>
      <c r="H8" s="41">
        <v>1947</v>
      </c>
      <c r="I8" s="41">
        <v>1225</v>
      </c>
      <c r="J8" s="136">
        <v>1142292.2</v>
      </c>
      <c r="K8" s="136">
        <v>251075.04</v>
      </c>
      <c r="L8" s="136">
        <v>1489608.66</v>
      </c>
      <c r="M8" s="136">
        <v>1428715.1500000001</v>
      </c>
      <c r="N8" s="136">
        <v>124315.95</v>
      </c>
      <c r="O8" s="136">
        <v>98367.5</v>
      </c>
      <c r="P8" s="178">
        <f>SUM(Ikärakenne[[#This Row],[Ikä 0–5]:[Ikä 18-64]])</f>
        <v>4534374.5</v>
      </c>
      <c r="S8" s="77"/>
      <c r="T8" s="77"/>
      <c r="U8" s="77"/>
      <c r="V8" s="77"/>
      <c r="W8" s="77"/>
      <c r="X8" s="77"/>
      <c r="Y8" s="77"/>
      <c r="Z8" s="77"/>
      <c r="AA8" s="77"/>
      <c r="AB8" s="77"/>
      <c r="AE8" s="78"/>
      <c r="AF8" s="43"/>
      <c r="AG8" s="43"/>
      <c r="AH8" s="43"/>
      <c r="AI8" s="43"/>
    </row>
    <row r="9" spans="1:43">
      <c r="A9" s="127">
        <v>10</v>
      </c>
      <c r="B9" s="124" t="s">
        <v>14</v>
      </c>
      <c r="C9" s="38">
        <f>SUM(Ikärakenne[[#This Row],[0–5-vuotiaat]:[16 vuotta täyttäneet]])</f>
        <v>10933</v>
      </c>
      <c r="D9" s="41">
        <v>564</v>
      </c>
      <c r="E9" s="41">
        <v>129</v>
      </c>
      <c r="F9" s="41">
        <v>764</v>
      </c>
      <c r="G9" s="41">
        <v>421</v>
      </c>
      <c r="H9" s="41">
        <v>9055</v>
      </c>
      <c r="I9" s="41">
        <v>5510</v>
      </c>
      <c r="J9" s="136">
        <v>4601805.72</v>
      </c>
      <c r="K9" s="136">
        <v>1116851.04</v>
      </c>
      <c r="L9" s="136">
        <v>5524568.04</v>
      </c>
      <c r="M9" s="136">
        <v>5230339.8100000005</v>
      </c>
      <c r="N9" s="136">
        <v>578161.75</v>
      </c>
      <c r="O9" s="136">
        <v>442453</v>
      </c>
      <c r="P9" s="178">
        <f>SUM(Ikärakenne[[#This Row],[Ikä 0–5]:[Ikä 18-64]])</f>
        <v>17494179.359999999</v>
      </c>
      <c r="AE9" s="79"/>
      <c r="AF9" s="78"/>
      <c r="AG9" s="43"/>
      <c r="AH9" s="43"/>
      <c r="AI9" s="79"/>
      <c r="AJ9" s="63"/>
    </row>
    <row r="10" spans="1:43">
      <c r="A10" s="127">
        <v>16</v>
      </c>
      <c r="B10" s="124" t="s">
        <v>15</v>
      </c>
      <c r="C10" s="38">
        <f>SUM(Ikärakenne[[#This Row],[0–5-vuotiaat]:[16 vuotta täyttäneet]])</f>
        <v>7968</v>
      </c>
      <c r="D10" s="41">
        <v>330</v>
      </c>
      <c r="E10" s="41">
        <v>63</v>
      </c>
      <c r="F10" s="41">
        <v>456</v>
      </c>
      <c r="G10" s="41">
        <v>271</v>
      </c>
      <c r="H10" s="41">
        <v>6848</v>
      </c>
      <c r="I10" s="41">
        <v>3847</v>
      </c>
      <c r="J10" s="136">
        <v>2692545.9</v>
      </c>
      <c r="K10" s="136">
        <v>545438.88</v>
      </c>
      <c r="L10" s="136">
        <v>3297386.1599999997</v>
      </c>
      <c r="M10" s="136">
        <v>3366798.31</v>
      </c>
      <c r="N10" s="136">
        <v>437244.8</v>
      </c>
      <c r="O10" s="136">
        <v>308914.09999999998</v>
      </c>
      <c r="P10" s="178">
        <f>SUM(Ikärakenne[[#This Row],[Ikä 0–5]:[Ikä 18-64]])</f>
        <v>10648328.15</v>
      </c>
      <c r="R10" s="80"/>
      <c r="S10" s="67"/>
      <c r="T10" s="67"/>
      <c r="U10" s="67"/>
      <c r="V10" s="67"/>
      <c r="W10" s="67"/>
      <c r="X10" s="67"/>
      <c r="Y10" s="61"/>
      <c r="Z10" s="61"/>
      <c r="AA10" s="81"/>
      <c r="AB10" s="81"/>
      <c r="AC10" s="77"/>
      <c r="AD10" s="77"/>
      <c r="AE10" s="79"/>
      <c r="AF10" s="82"/>
    </row>
    <row r="11" spans="1:43">
      <c r="A11" s="127">
        <v>18</v>
      </c>
      <c r="B11" s="124" t="s">
        <v>16</v>
      </c>
      <c r="C11" s="38">
        <f>SUM(Ikärakenne[[#This Row],[0–5-vuotiaat]:[16 vuotta täyttäneet]])</f>
        <v>4700</v>
      </c>
      <c r="D11" s="41">
        <v>230</v>
      </c>
      <c r="E11" s="41">
        <v>44</v>
      </c>
      <c r="F11" s="41">
        <v>385</v>
      </c>
      <c r="G11" s="41">
        <v>226</v>
      </c>
      <c r="H11" s="41">
        <v>3815</v>
      </c>
      <c r="I11" s="41">
        <v>2648</v>
      </c>
      <c r="J11" s="136">
        <v>1876622.9</v>
      </c>
      <c r="K11" s="136">
        <v>380941.44</v>
      </c>
      <c r="L11" s="136">
        <v>2783977.35</v>
      </c>
      <c r="M11" s="136">
        <v>2807735.8600000003</v>
      </c>
      <c r="N11" s="136">
        <v>243587.75</v>
      </c>
      <c r="O11" s="136">
        <v>212634.4</v>
      </c>
      <c r="P11" s="178">
        <f>SUM(Ikärakenne[[#This Row],[Ikä 0–5]:[Ikä 18-64]])</f>
        <v>8305499.7000000002</v>
      </c>
      <c r="R11" s="83"/>
      <c r="S11" s="77"/>
      <c r="T11" s="77"/>
      <c r="U11" s="77"/>
      <c r="V11" s="77"/>
      <c r="W11" s="77"/>
      <c r="X11" s="77"/>
      <c r="Y11" s="77"/>
      <c r="Z11" s="77"/>
      <c r="AA11" s="77"/>
      <c r="AB11" s="77"/>
      <c r="AC11" s="77"/>
      <c r="AD11" s="84"/>
      <c r="AE11" s="82"/>
      <c r="AF11" s="82"/>
    </row>
    <row r="12" spans="1:43">
      <c r="A12" s="127">
        <v>19</v>
      </c>
      <c r="B12" s="124" t="s">
        <v>17</v>
      </c>
      <c r="C12" s="38">
        <f>SUM(Ikärakenne[[#This Row],[0–5-vuotiaat]:[16 vuotta täyttäneet]])</f>
        <v>3961</v>
      </c>
      <c r="D12" s="41">
        <v>259</v>
      </c>
      <c r="E12" s="41">
        <v>41</v>
      </c>
      <c r="F12" s="41">
        <v>305</v>
      </c>
      <c r="G12" s="41">
        <v>162</v>
      </c>
      <c r="H12" s="41">
        <v>3194</v>
      </c>
      <c r="I12" s="41">
        <v>2192</v>
      </c>
      <c r="J12" s="136">
        <v>2113240.5699999998</v>
      </c>
      <c r="K12" s="136">
        <v>354968.16000000003</v>
      </c>
      <c r="L12" s="136">
        <v>2205488.5499999998</v>
      </c>
      <c r="M12" s="136">
        <v>2012624.82</v>
      </c>
      <c r="N12" s="136">
        <v>203936.9</v>
      </c>
      <c r="O12" s="136">
        <v>176017.6</v>
      </c>
      <c r="P12" s="178">
        <f>SUM(Ikärakenne[[#This Row],[Ikä 0–5]:[Ikä 18-64]])</f>
        <v>7066276.5999999996</v>
      </c>
      <c r="R12" s="83"/>
      <c r="S12" s="77"/>
      <c r="T12" s="77"/>
      <c r="U12" s="77"/>
      <c r="V12" s="77"/>
      <c r="W12" s="77"/>
      <c r="X12" s="77"/>
      <c r="Y12" s="77"/>
      <c r="Z12" s="77"/>
      <c r="AA12" s="77"/>
      <c r="AB12" s="77"/>
      <c r="AC12" s="77"/>
      <c r="AD12" s="84"/>
      <c r="AE12" s="85"/>
      <c r="AF12" s="82"/>
    </row>
    <row r="13" spans="1:43">
      <c r="A13" s="127">
        <v>20</v>
      </c>
      <c r="B13" s="124" t="s">
        <v>18</v>
      </c>
      <c r="C13" s="38">
        <f>SUM(Ikärakenne[[#This Row],[0–5-vuotiaat]:[16 vuotta täyttäneet]])</f>
        <v>16405</v>
      </c>
      <c r="D13" s="41">
        <v>769</v>
      </c>
      <c r="E13" s="41">
        <v>148</v>
      </c>
      <c r="F13" s="41">
        <v>1155</v>
      </c>
      <c r="G13" s="41">
        <v>650</v>
      </c>
      <c r="H13" s="41">
        <v>13683</v>
      </c>
      <c r="I13" s="41">
        <v>9032</v>
      </c>
      <c r="J13" s="136">
        <v>6274447.8700000001</v>
      </c>
      <c r="K13" s="136">
        <v>1281348.48</v>
      </c>
      <c r="L13" s="136">
        <v>8351932.0499999998</v>
      </c>
      <c r="M13" s="136">
        <v>8075346.5</v>
      </c>
      <c r="N13" s="136">
        <v>873659.55</v>
      </c>
      <c r="O13" s="136">
        <v>725269.6</v>
      </c>
      <c r="P13" s="178">
        <f>SUM(Ikärakenne[[#This Row],[Ikä 0–5]:[Ikä 18-64]])</f>
        <v>25582004.050000001</v>
      </c>
      <c r="R13" s="86"/>
      <c r="S13" s="77"/>
      <c r="T13" s="77"/>
      <c r="U13" s="77"/>
      <c r="V13" s="77"/>
      <c r="W13" s="77"/>
      <c r="X13" s="77"/>
      <c r="Y13" s="77"/>
      <c r="Z13" s="77"/>
      <c r="AA13" s="77"/>
      <c r="AB13" s="77"/>
      <c r="AC13" s="77"/>
      <c r="AD13" s="84"/>
      <c r="AE13" s="85"/>
      <c r="AF13" s="82"/>
    </row>
    <row r="14" spans="1:43">
      <c r="A14" s="127">
        <v>46</v>
      </c>
      <c r="B14" s="124" t="s">
        <v>19</v>
      </c>
      <c r="C14" s="38">
        <f>SUM(Ikärakenne[[#This Row],[0–5-vuotiaat]:[16 vuotta täyttäneet]])</f>
        <v>1320</v>
      </c>
      <c r="D14" s="41">
        <v>50</v>
      </c>
      <c r="E14" s="41">
        <v>8</v>
      </c>
      <c r="F14" s="41">
        <v>78</v>
      </c>
      <c r="G14" s="41">
        <v>38</v>
      </c>
      <c r="H14" s="41">
        <v>1146</v>
      </c>
      <c r="I14" s="41">
        <v>611</v>
      </c>
      <c r="J14" s="136">
        <v>407961.5</v>
      </c>
      <c r="K14" s="136">
        <v>69262.080000000002</v>
      </c>
      <c r="L14" s="136">
        <v>564026.57999999996</v>
      </c>
      <c r="M14" s="136">
        <v>472097.18000000005</v>
      </c>
      <c r="N14" s="136">
        <v>73172.100000000006</v>
      </c>
      <c r="O14" s="136">
        <v>49063.299999999996</v>
      </c>
      <c r="P14" s="178">
        <f>SUM(Ikärakenne[[#This Row],[Ikä 0–5]:[Ikä 18-64]])</f>
        <v>1635582.74</v>
      </c>
      <c r="R14" s="83"/>
      <c r="S14" s="77"/>
      <c r="T14" s="77"/>
      <c r="U14" s="77"/>
      <c r="V14" s="77"/>
      <c r="W14" s="77"/>
      <c r="X14" s="77"/>
      <c r="Y14" s="77"/>
      <c r="Z14" s="77"/>
      <c r="AA14" s="77"/>
      <c r="AB14" s="87"/>
      <c r="AC14" s="77"/>
      <c r="AD14" s="84"/>
      <c r="AE14" s="85"/>
      <c r="AF14" s="82"/>
    </row>
    <row r="15" spans="1:43">
      <c r="A15" s="127">
        <v>47</v>
      </c>
      <c r="B15" s="124" t="s">
        <v>20</v>
      </c>
      <c r="C15" s="38">
        <f>SUM(Ikärakenne[[#This Row],[0–5-vuotiaat]:[16 vuotta täyttäneet]])</f>
        <v>1771</v>
      </c>
      <c r="D15" s="41">
        <v>61</v>
      </c>
      <c r="E15" s="41">
        <v>10</v>
      </c>
      <c r="F15" s="41">
        <v>95</v>
      </c>
      <c r="G15" s="41">
        <v>57</v>
      </c>
      <c r="H15" s="41">
        <v>1548</v>
      </c>
      <c r="I15" s="41">
        <v>957</v>
      </c>
      <c r="J15" s="136">
        <v>497713.02999999997</v>
      </c>
      <c r="K15" s="136">
        <v>86577.600000000006</v>
      </c>
      <c r="L15" s="136">
        <v>686955.45</v>
      </c>
      <c r="M15" s="136">
        <v>708145.77</v>
      </c>
      <c r="N15" s="136">
        <v>98839.8</v>
      </c>
      <c r="O15" s="136">
        <v>76847.099999999991</v>
      </c>
      <c r="P15" s="178">
        <f>SUM(Ikärakenne[[#This Row],[Ikä 0–5]:[Ikä 18-64]])</f>
        <v>2155078.75</v>
      </c>
      <c r="R15" s="83"/>
      <c r="S15" s="77"/>
      <c r="T15" s="77"/>
      <c r="U15" s="77"/>
      <c r="V15" s="77"/>
      <c r="W15" s="77"/>
      <c r="X15" s="77"/>
      <c r="Y15" s="77"/>
      <c r="Z15" s="77"/>
      <c r="AA15" s="77"/>
      <c r="AB15" s="77"/>
      <c r="AC15" s="77"/>
      <c r="AD15" s="84"/>
      <c r="AE15" s="88"/>
      <c r="AH15" s="78"/>
    </row>
    <row r="16" spans="1:43">
      <c r="A16" s="127">
        <v>49</v>
      </c>
      <c r="B16" s="124" t="s">
        <v>21</v>
      </c>
      <c r="C16" s="38">
        <f>SUM(Ikärakenne[[#This Row],[0–5-vuotiaat]:[16 vuotta täyttäneet]])</f>
        <v>314024</v>
      </c>
      <c r="D16" s="41">
        <v>20404</v>
      </c>
      <c r="E16" s="41">
        <v>3591</v>
      </c>
      <c r="F16" s="41">
        <v>23660</v>
      </c>
      <c r="G16" s="41">
        <v>11989</v>
      </c>
      <c r="H16" s="41">
        <v>254380</v>
      </c>
      <c r="I16" s="41">
        <v>199024</v>
      </c>
      <c r="J16" s="136">
        <v>166480928.91999999</v>
      </c>
      <c r="K16" s="136">
        <v>31090016.16</v>
      </c>
      <c r="L16" s="136">
        <v>171088062.59999999</v>
      </c>
      <c r="M16" s="136">
        <v>148946660.29000002</v>
      </c>
      <c r="N16" s="136">
        <v>16242163</v>
      </c>
      <c r="O16" s="136">
        <v>15981627.199999999</v>
      </c>
      <c r="P16" s="178">
        <f>SUM(Ikärakenne[[#This Row],[Ikä 0–5]:[Ikä 18-64]])</f>
        <v>549829458.16999996</v>
      </c>
      <c r="R16" s="83"/>
      <c r="S16" s="77"/>
      <c r="T16" s="77"/>
      <c r="U16" s="77"/>
      <c r="V16" s="77"/>
      <c r="W16" s="77"/>
      <c r="X16" s="77"/>
      <c r="Y16" s="77"/>
      <c r="Z16" s="77"/>
      <c r="AA16" s="77"/>
      <c r="AB16" s="77"/>
      <c r="AC16" s="77"/>
      <c r="AD16" s="84"/>
    </row>
    <row r="17" spans="1:31">
      <c r="A17" s="127">
        <v>50</v>
      </c>
      <c r="B17" s="124" t="s">
        <v>22</v>
      </c>
      <c r="C17" s="38">
        <f>SUM(Ikärakenne[[#This Row],[0–5-vuotiaat]:[16 vuotta täyttäneet]])</f>
        <v>11184</v>
      </c>
      <c r="D17" s="41">
        <v>484</v>
      </c>
      <c r="E17" s="41">
        <v>93</v>
      </c>
      <c r="F17" s="41">
        <v>750</v>
      </c>
      <c r="G17" s="41">
        <v>409</v>
      </c>
      <c r="H17" s="41">
        <v>9448</v>
      </c>
      <c r="I17" s="41">
        <v>5891</v>
      </c>
      <c r="J17" s="136">
        <v>3949067.32</v>
      </c>
      <c r="K17" s="136">
        <v>805171.68</v>
      </c>
      <c r="L17" s="136">
        <v>5423332.5</v>
      </c>
      <c r="M17" s="136">
        <v>5081256.49</v>
      </c>
      <c r="N17" s="136">
        <v>603254.80000000005</v>
      </c>
      <c r="O17" s="136">
        <v>473047.3</v>
      </c>
      <c r="P17" s="178">
        <f>SUM(Ikärakenne[[#This Row],[Ikä 0–5]:[Ikä 18-64]])</f>
        <v>16335130.090000002</v>
      </c>
      <c r="R17" s="83"/>
      <c r="S17" s="77"/>
      <c r="T17" s="77"/>
      <c r="U17" s="77"/>
      <c r="V17" s="77"/>
      <c r="W17" s="77"/>
      <c r="X17" s="77"/>
      <c r="Y17" s="77"/>
      <c r="Z17" s="77"/>
      <c r="AA17" s="77"/>
      <c r="AB17" s="77"/>
      <c r="AC17" s="77"/>
      <c r="AD17" s="84"/>
      <c r="AE17" s="56"/>
    </row>
    <row r="18" spans="1:31">
      <c r="A18" s="127">
        <v>51</v>
      </c>
      <c r="B18" s="124" t="s">
        <v>23</v>
      </c>
      <c r="C18" s="38">
        <f>SUM(Ikärakenne[[#This Row],[0–5-vuotiaat]:[16 vuotta täyttäneet]])</f>
        <v>9143</v>
      </c>
      <c r="D18" s="41">
        <v>429</v>
      </c>
      <c r="E18" s="41">
        <v>85</v>
      </c>
      <c r="F18" s="41">
        <v>670</v>
      </c>
      <c r="G18" s="41">
        <v>388</v>
      </c>
      <c r="H18" s="41">
        <v>7571</v>
      </c>
      <c r="I18" s="41">
        <v>4852</v>
      </c>
      <c r="J18" s="136">
        <v>3500309.67</v>
      </c>
      <c r="K18" s="136">
        <v>735909.6</v>
      </c>
      <c r="L18" s="136">
        <v>4844843.7</v>
      </c>
      <c r="M18" s="136">
        <v>4820360.6800000006</v>
      </c>
      <c r="N18" s="136">
        <v>483408.35000000003</v>
      </c>
      <c r="O18" s="136">
        <v>389615.6</v>
      </c>
      <c r="P18" s="178">
        <f>SUM(Ikärakenne[[#This Row],[Ikä 0–5]:[Ikä 18-64]])</f>
        <v>14774447.599999998</v>
      </c>
      <c r="R18" s="83"/>
      <c r="S18" s="77"/>
      <c r="T18" s="77"/>
      <c r="U18" s="77"/>
      <c r="V18" s="77"/>
      <c r="W18" s="77"/>
      <c r="X18" s="77"/>
      <c r="Y18" s="77"/>
      <c r="Z18" s="77"/>
      <c r="AA18" s="77"/>
      <c r="AB18" s="77"/>
      <c r="AC18" s="77"/>
      <c r="AD18" s="84"/>
      <c r="AE18" s="78"/>
    </row>
    <row r="19" spans="1:31">
      <c r="A19" s="127">
        <v>52</v>
      </c>
      <c r="B19" s="124" t="s">
        <v>24</v>
      </c>
      <c r="C19" s="38">
        <f>SUM(Ikärakenne[[#This Row],[0–5-vuotiaat]:[16 vuotta täyttäneet]])</f>
        <v>2292</v>
      </c>
      <c r="D19" s="41">
        <v>107</v>
      </c>
      <c r="E19" s="41">
        <v>23</v>
      </c>
      <c r="F19" s="41">
        <v>161</v>
      </c>
      <c r="G19" s="41">
        <v>97</v>
      </c>
      <c r="H19" s="41">
        <v>1904</v>
      </c>
      <c r="I19" s="41">
        <v>1135</v>
      </c>
      <c r="J19" s="136">
        <v>873037.61</v>
      </c>
      <c r="K19" s="136">
        <v>199128.48</v>
      </c>
      <c r="L19" s="136">
        <v>1164208.71</v>
      </c>
      <c r="M19" s="136">
        <v>1205090.1700000002</v>
      </c>
      <c r="N19" s="136">
        <v>121570.40000000001</v>
      </c>
      <c r="O19" s="136">
        <v>91140.5</v>
      </c>
      <c r="P19" s="178">
        <f>SUM(Ikärakenne[[#This Row],[Ikä 0–5]:[Ikä 18-64]])</f>
        <v>3654175.8699999996</v>
      </c>
      <c r="R19" s="43"/>
      <c r="S19" s="77"/>
      <c r="T19" s="77"/>
      <c r="U19" s="77"/>
      <c r="V19" s="77"/>
      <c r="W19" s="77"/>
      <c r="X19" s="77"/>
      <c r="Y19" s="77"/>
      <c r="Z19" s="77"/>
      <c r="AA19" s="77"/>
      <c r="AB19" s="77"/>
      <c r="AC19" s="77"/>
      <c r="AD19" s="84"/>
      <c r="AE19" s="78"/>
    </row>
    <row r="20" spans="1:31">
      <c r="A20" s="127">
        <v>61</v>
      </c>
      <c r="B20" s="124" t="s">
        <v>25</v>
      </c>
      <c r="C20" s="38">
        <f>SUM(Ikärakenne[[#This Row],[0–5-vuotiaat]:[16 vuotta täyttäneet]])</f>
        <v>16469</v>
      </c>
      <c r="D20" s="41">
        <v>620</v>
      </c>
      <c r="E20" s="41">
        <v>118</v>
      </c>
      <c r="F20" s="41">
        <v>806</v>
      </c>
      <c r="G20" s="41">
        <v>476</v>
      </c>
      <c r="H20" s="41">
        <v>14449</v>
      </c>
      <c r="I20" s="41">
        <v>8649</v>
      </c>
      <c r="J20" s="136">
        <v>5058722.5999999996</v>
      </c>
      <c r="K20" s="136">
        <v>1021615.68</v>
      </c>
      <c r="L20" s="136">
        <v>5828274.6600000001</v>
      </c>
      <c r="M20" s="136">
        <v>5913638.3600000003</v>
      </c>
      <c r="N20" s="136">
        <v>922568.65</v>
      </c>
      <c r="O20" s="136">
        <v>694514.7</v>
      </c>
      <c r="P20" s="178">
        <f>SUM(Ikärakenne[[#This Row],[Ikä 0–5]:[Ikä 18-64]])</f>
        <v>19439334.649999999</v>
      </c>
      <c r="R20" s="78"/>
      <c r="S20" s="77"/>
      <c r="T20" s="77"/>
      <c r="U20" s="77"/>
      <c r="V20" s="77"/>
      <c r="W20" s="77"/>
      <c r="X20" s="77"/>
      <c r="Y20" s="77"/>
      <c r="Z20" s="77"/>
      <c r="AA20" s="77"/>
      <c r="AB20" s="89"/>
      <c r="AC20" s="77"/>
      <c r="AD20" s="84"/>
    </row>
    <row r="21" spans="1:31">
      <c r="A21" s="127">
        <v>69</v>
      </c>
      <c r="B21" s="124" t="s">
        <v>26</v>
      </c>
      <c r="C21" s="38">
        <f>SUM(Ikärakenne[[#This Row],[0–5-vuotiaat]:[16 vuotta täyttäneet]])</f>
        <v>6558</v>
      </c>
      <c r="D21" s="41">
        <v>364</v>
      </c>
      <c r="E21" s="41">
        <v>76</v>
      </c>
      <c r="F21" s="41">
        <v>483</v>
      </c>
      <c r="G21" s="41">
        <v>278</v>
      </c>
      <c r="H21" s="41">
        <v>5357</v>
      </c>
      <c r="I21" s="41">
        <v>3355</v>
      </c>
      <c r="J21" s="136">
        <v>2969959.7199999997</v>
      </c>
      <c r="K21" s="136">
        <v>657989.76</v>
      </c>
      <c r="L21" s="136">
        <v>3492626.13</v>
      </c>
      <c r="M21" s="136">
        <v>3453763.58</v>
      </c>
      <c r="N21" s="136">
        <v>342044.45</v>
      </c>
      <c r="O21" s="136">
        <v>269406.5</v>
      </c>
      <c r="P21" s="178">
        <f>SUM(Ikärakenne[[#This Row],[Ikä 0–5]:[Ikä 18-64]])</f>
        <v>11185790.139999999</v>
      </c>
      <c r="R21" s="78"/>
      <c r="S21" s="77"/>
      <c r="T21" s="77"/>
      <c r="U21" s="77"/>
      <c r="V21" s="77"/>
      <c r="W21" s="77"/>
      <c r="X21" s="77"/>
      <c r="Y21" s="77"/>
      <c r="Z21" s="77"/>
      <c r="AA21" s="77"/>
      <c r="AB21" s="77"/>
      <c r="AC21" s="77"/>
      <c r="AD21" s="84"/>
    </row>
    <row r="22" spans="1:31">
      <c r="A22" s="127">
        <v>71</v>
      </c>
      <c r="B22" s="124" t="s">
        <v>27</v>
      </c>
      <c r="C22" s="38">
        <f>SUM(Ikärakenne[[#This Row],[0–5-vuotiaat]:[16 vuotta täyttäneet]])</f>
        <v>6473</v>
      </c>
      <c r="D22" s="41">
        <v>363</v>
      </c>
      <c r="E22" s="41">
        <v>77</v>
      </c>
      <c r="F22" s="41">
        <v>577</v>
      </c>
      <c r="G22" s="41">
        <v>286</v>
      </c>
      <c r="H22" s="41">
        <v>5170</v>
      </c>
      <c r="I22" s="41">
        <v>3303</v>
      </c>
      <c r="J22" s="136">
        <v>2961800.4899999998</v>
      </c>
      <c r="K22" s="136">
        <v>666647.52</v>
      </c>
      <c r="L22" s="136">
        <v>4172350.4699999997</v>
      </c>
      <c r="M22" s="136">
        <v>3553152.46</v>
      </c>
      <c r="N22" s="136">
        <v>330104.5</v>
      </c>
      <c r="O22" s="136">
        <v>265230.89999999997</v>
      </c>
      <c r="P22" s="178">
        <f>SUM(Ikärakenne[[#This Row],[Ikä 0–5]:[Ikä 18-64]])</f>
        <v>11949286.34</v>
      </c>
      <c r="R22" s="78"/>
      <c r="S22" s="77"/>
      <c r="T22" s="77"/>
      <c r="U22" s="77"/>
      <c r="V22" s="77"/>
      <c r="W22" s="77"/>
      <c r="X22" s="77"/>
      <c r="Y22" s="77"/>
      <c r="Z22" s="77"/>
      <c r="AA22" s="77"/>
      <c r="AB22" s="77"/>
      <c r="AC22" s="77"/>
      <c r="AD22" s="84"/>
    </row>
    <row r="23" spans="1:31">
      <c r="A23" s="127">
        <v>72</v>
      </c>
      <c r="B23" s="124" t="s">
        <v>28</v>
      </c>
      <c r="C23" s="38">
        <f>SUM(Ikärakenne[[#This Row],[0–5-vuotiaat]:[16 vuotta täyttäneet]])</f>
        <v>948</v>
      </c>
      <c r="D23" s="41">
        <v>31</v>
      </c>
      <c r="E23" s="41">
        <v>8</v>
      </c>
      <c r="F23" s="41">
        <v>54</v>
      </c>
      <c r="G23" s="41">
        <v>30</v>
      </c>
      <c r="H23" s="41">
        <v>825</v>
      </c>
      <c r="I23" s="41">
        <v>425</v>
      </c>
      <c r="J23" s="136">
        <v>252936.12999999998</v>
      </c>
      <c r="K23" s="136">
        <v>69262.080000000002</v>
      </c>
      <c r="L23" s="136">
        <v>390479.94</v>
      </c>
      <c r="M23" s="136">
        <v>372708.30000000005</v>
      </c>
      <c r="N23" s="136">
        <v>52676.25</v>
      </c>
      <c r="O23" s="136">
        <v>34127.5</v>
      </c>
      <c r="P23" s="178">
        <f>SUM(Ikärakenne[[#This Row],[Ikä 0–5]:[Ikä 18-64]])</f>
        <v>1172190.2</v>
      </c>
      <c r="R23" s="90"/>
      <c r="S23" s="77"/>
      <c r="T23" s="77"/>
      <c r="U23" s="77"/>
      <c r="V23" s="77"/>
      <c r="W23" s="77"/>
      <c r="X23" s="77"/>
      <c r="Y23" s="77"/>
      <c r="Z23" s="77"/>
      <c r="AA23" s="77"/>
      <c r="AB23" s="77"/>
      <c r="AC23" s="77"/>
      <c r="AD23" s="84"/>
    </row>
    <row r="24" spans="1:31">
      <c r="A24" s="127">
        <v>74</v>
      </c>
      <c r="B24" s="124" t="s">
        <v>29</v>
      </c>
      <c r="C24" s="38">
        <f>SUM(Ikärakenne[[#This Row],[0–5-vuotiaat]:[16 vuotta täyttäneet]])</f>
        <v>1013</v>
      </c>
      <c r="D24" s="41">
        <v>39</v>
      </c>
      <c r="E24" s="41">
        <v>13</v>
      </c>
      <c r="F24" s="41">
        <v>63</v>
      </c>
      <c r="G24" s="41">
        <v>31</v>
      </c>
      <c r="H24" s="41">
        <v>867</v>
      </c>
      <c r="I24" s="41">
        <v>475</v>
      </c>
      <c r="J24" s="136">
        <v>318209.96999999997</v>
      </c>
      <c r="K24" s="136">
        <v>112550.88</v>
      </c>
      <c r="L24" s="136">
        <v>455559.93</v>
      </c>
      <c r="M24" s="136">
        <v>385131.91000000003</v>
      </c>
      <c r="N24" s="136">
        <v>55357.950000000004</v>
      </c>
      <c r="O24" s="136">
        <v>38142.5</v>
      </c>
      <c r="P24" s="178">
        <f>SUM(Ikärakenne[[#This Row],[Ikä 0–5]:[Ikä 18-64]])</f>
        <v>1364953.14</v>
      </c>
      <c r="S24" s="87"/>
      <c r="T24" s="87"/>
      <c r="U24" s="87"/>
      <c r="V24" s="87"/>
      <c r="W24" s="87"/>
      <c r="X24" s="87"/>
      <c r="Y24" s="87"/>
      <c r="Z24" s="87"/>
      <c r="AA24" s="87"/>
      <c r="AB24" s="87"/>
      <c r="AC24" s="87"/>
      <c r="AD24" s="87"/>
    </row>
    <row r="25" spans="1:31">
      <c r="A25" s="127">
        <v>75</v>
      </c>
      <c r="B25" s="124" t="s">
        <v>30</v>
      </c>
      <c r="C25" s="38">
        <f>SUM(Ikärakenne[[#This Row],[0–5-vuotiaat]:[16 vuotta täyttäneet]])</f>
        <v>19534</v>
      </c>
      <c r="D25" s="41">
        <v>710</v>
      </c>
      <c r="E25" s="41">
        <v>126</v>
      </c>
      <c r="F25" s="41">
        <v>1114</v>
      </c>
      <c r="G25" s="41">
        <v>624</v>
      </c>
      <c r="H25" s="41">
        <v>16960</v>
      </c>
      <c r="I25" s="41">
        <v>10434</v>
      </c>
      <c r="J25" s="136">
        <v>5793053.2999999998</v>
      </c>
      <c r="K25" s="136">
        <v>1090877.76</v>
      </c>
      <c r="L25" s="136">
        <v>8055456.54</v>
      </c>
      <c r="M25" s="136">
        <v>7752332.6400000006</v>
      </c>
      <c r="N25" s="136">
        <v>1082896</v>
      </c>
      <c r="O25" s="136">
        <v>837850.2</v>
      </c>
      <c r="P25" s="178">
        <f>SUM(Ikärakenne[[#This Row],[Ikä 0–5]:[Ikä 18-64]])</f>
        <v>24612466.440000001</v>
      </c>
      <c r="S25" s="91"/>
      <c r="T25" s="91"/>
      <c r="U25" s="91"/>
      <c r="V25" s="91"/>
      <c r="W25" s="91"/>
      <c r="X25" s="91"/>
      <c r="Y25" s="91"/>
      <c r="Z25" s="91"/>
      <c r="AA25" s="91"/>
      <c r="AB25" s="91"/>
      <c r="AC25" s="77"/>
      <c r="AD25" s="77"/>
    </row>
    <row r="26" spans="1:31">
      <c r="A26" s="127">
        <v>77</v>
      </c>
      <c r="B26" s="124" t="s">
        <v>31</v>
      </c>
      <c r="C26" s="38">
        <f>SUM(Ikärakenne[[#This Row],[0–5-vuotiaat]:[16 vuotta täyttäneet]])</f>
        <v>4549</v>
      </c>
      <c r="D26" s="41">
        <v>149</v>
      </c>
      <c r="E26" s="41">
        <v>34</v>
      </c>
      <c r="F26" s="41">
        <v>286</v>
      </c>
      <c r="G26" s="41">
        <v>177</v>
      </c>
      <c r="H26" s="41">
        <v>3903</v>
      </c>
      <c r="I26" s="41">
        <v>2215</v>
      </c>
      <c r="J26" s="136">
        <v>1215725.27</v>
      </c>
      <c r="K26" s="136">
        <v>294363.84000000003</v>
      </c>
      <c r="L26" s="136">
        <v>2068097.46</v>
      </c>
      <c r="M26" s="136">
        <v>2198978.9700000002</v>
      </c>
      <c r="N26" s="136">
        <v>249206.55000000002</v>
      </c>
      <c r="O26" s="136">
        <v>177864.5</v>
      </c>
      <c r="P26" s="178">
        <f>SUM(Ikärakenne[[#This Row],[Ikä 0–5]:[Ikä 18-64]])</f>
        <v>6204236.5900000008</v>
      </c>
      <c r="R26" s="92"/>
      <c r="S26" s="93"/>
      <c r="T26" s="93"/>
      <c r="U26" s="93"/>
      <c r="V26" s="93"/>
      <c r="W26" s="93"/>
      <c r="X26" s="93"/>
      <c r="Y26" s="93"/>
      <c r="Z26" s="93"/>
      <c r="AA26" s="93"/>
      <c r="AB26" s="94"/>
      <c r="AC26" s="77"/>
      <c r="AD26" s="77"/>
    </row>
    <row r="27" spans="1:31">
      <c r="A27" s="127">
        <v>78</v>
      </c>
      <c r="B27" s="124" t="s">
        <v>32</v>
      </c>
      <c r="C27" s="38">
        <f>SUM(Ikärakenne[[#This Row],[0–5-vuotiaat]:[16 vuotta täyttäneet]])</f>
        <v>7721</v>
      </c>
      <c r="D27" s="41">
        <v>238</v>
      </c>
      <c r="E27" s="41">
        <v>50</v>
      </c>
      <c r="F27" s="41">
        <v>372</v>
      </c>
      <c r="G27" s="41">
        <v>253</v>
      </c>
      <c r="H27" s="41">
        <v>6808</v>
      </c>
      <c r="I27" s="41">
        <v>3956</v>
      </c>
      <c r="J27" s="136">
        <v>1941896.74</v>
      </c>
      <c r="K27" s="136">
        <v>432888</v>
      </c>
      <c r="L27" s="136">
        <v>2689972.92</v>
      </c>
      <c r="M27" s="136">
        <v>3143173.33</v>
      </c>
      <c r="N27" s="136">
        <v>434690.8</v>
      </c>
      <c r="O27" s="136">
        <v>317666.8</v>
      </c>
      <c r="P27" s="178">
        <f>SUM(Ikärakenne[[#This Row],[Ikä 0–5]:[Ikä 18-64]])</f>
        <v>8960288.5900000017</v>
      </c>
      <c r="S27" s="95"/>
      <c r="T27" s="95"/>
      <c r="U27" s="95"/>
      <c r="V27" s="95"/>
      <c r="W27" s="95"/>
      <c r="X27" s="95"/>
      <c r="Y27" s="95"/>
      <c r="Z27" s="95"/>
      <c r="AA27" s="95"/>
    </row>
    <row r="28" spans="1:31">
      <c r="A28" s="127">
        <v>79</v>
      </c>
      <c r="B28" s="124" t="s">
        <v>33</v>
      </c>
      <c r="C28" s="38">
        <f>SUM(Ikärakenne[[#This Row],[0–5-vuotiaat]:[16 vuotta täyttäneet]])</f>
        <v>6703</v>
      </c>
      <c r="D28" s="41">
        <v>288</v>
      </c>
      <c r="E28" s="41">
        <v>58</v>
      </c>
      <c r="F28" s="41">
        <v>418</v>
      </c>
      <c r="G28" s="41">
        <v>190</v>
      </c>
      <c r="H28" s="41">
        <v>5749</v>
      </c>
      <c r="I28" s="41">
        <v>3406</v>
      </c>
      <c r="J28" s="136">
        <v>2349858.2399999998</v>
      </c>
      <c r="K28" s="136">
        <v>502150.08</v>
      </c>
      <c r="L28" s="136">
        <v>3022603.98</v>
      </c>
      <c r="M28" s="136">
        <v>2360485.9</v>
      </c>
      <c r="N28" s="136">
        <v>367073.65</v>
      </c>
      <c r="O28" s="136">
        <v>273501.8</v>
      </c>
      <c r="P28" s="178">
        <f>SUM(Ikärakenne[[#This Row],[Ikä 0–5]:[Ikä 18-64]])</f>
        <v>8875673.6500000004</v>
      </c>
      <c r="S28" s="96"/>
      <c r="T28" s="96"/>
      <c r="U28" s="43"/>
      <c r="V28" s="43"/>
      <c r="W28" s="43"/>
      <c r="X28" s="43"/>
      <c r="Y28" s="43"/>
      <c r="Z28" s="43"/>
      <c r="AA28" s="43"/>
      <c r="AB28" s="43"/>
    </row>
    <row r="29" spans="1:31">
      <c r="A29" s="127">
        <v>81</v>
      </c>
      <c r="B29" s="124" t="s">
        <v>34</v>
      </c>
      <c r="C29" s="38">
        <f>SUM(Ikärakenne[[#This Row],[0–5-vuotiaat]:[16 vuotta täyttäneet]])</f>
        <v>2531</v>
      </c>
      <c r="D29" s="41">
        <v>84</v>
      </c>
      <c r="E29" s="41">
        <v>15</v>
      </c>
      <c r="F29" s="41">
        <v>104</v>
      </c>
      <c r="G29" s="41">
        <v>40</v>
      </c>
      <c r="H29" s="41">
        <v>2288</v>
      </c>
      <c r="I29" s="41">
        <v>1151</v>
      </c>
      <c r="J29" s="136">
        <v>685375.32</v>
      </c>
      <c r="K29" s="136">
        <v>129866.40000000001</v>
      </c>
      <c r="L29" s="136">
        <v>752035.44</v>
      </c>
      <c r="M29" s="136">
        <v>496944.4</v>
      </c>
      <c r="N29" s="136">
        <v>146088.80000000002</v>
      </c>
      <c r="O29" s="136">
        <v>92425.3</v>
      </c>
      <c r="P29" s="178">
        <f>SUM(Ikärakenne[[#This Row],[Ikä 0–5]:[Ikä 18-64]])</f>
        <v>2302735.6599999997</v>
      </c>
      <c r="S29" s="64"/>
      <c r="T29" s="64"/>
      <c r="U29" s="64"/>
      <c r="V29" s="64"/>
      <c r="W29" s="64"/>
      <c r="X29" s="64"/>
      <c r="Y29" s="64"/>
      <c r="Z29" s="64"/>
      <c r="AA29" s="64"/>
      <c r="AB29" s="64"/>
      <c r="AC29" s="97"/>
    </row>
    <row r="30" spans="1:31">
      <c r="A30" s="127">
        <v>82</v>
      </c>
      <c r="B30" s="124" t="s">
        <v>35</v>
      </c>
      <c r="C30" s="38">
        <f>SUM(Ikärakenne[[#This Row],[0–5-vuotiaat]:[16 vuotta täyttäneet]])</f>
        <v>9371</v>
      </c>
      <c r="D30" s="41">
        <v>454</v>
      </c>
      <c r="E30" s="41">
        <v>116</v>
      </c>
      <c r="F30" s="41">
        <v>692</v>
      </c>
      <c r="G30" s="41">
        <v>363</v>
      </c>
      <c r="H30" s="41">
        <v>7746</v>
      </c>
      <c r="I30" s="41">
        <v>5143</v>
      </c>
      <c r="J30" s="136">
        <v>3704290.42</v>
      </c>
      <c r="K30" s="136">
        <v>1004300.16</v>
      </c>
      <c r="L30" s="136">
        <v>5003928.12</v>
      </c>
      <c r="M30" s="136">
        <v>4509770.4300000006</v>
      </c>
      <c r="N30" s="136">
        <v>494582.10000000003</v>
      </c>
      <c r="O30" s="136">
        <v>412982.89999999997</v>
      </c>
      <c r="P30" s="178">
        <f>SUM(Ikärakenne[[#This Row],[Ikä 0–5]:[Ikä 18-64]])</f>
        <v>15129854.129999999</v>
      </c>
      <c r="S30" s="98"/>
      <c r="T30" s="98"/>
      <c r="U30" s="98"/>
      <c r="V30" s="98"/>
      <c r="W30" s="98"/>
      <c r="X30" s="98"/>
      <c r="Y30" s="98"/>
      <c r="Z30" s="98"/>
      <c r="AA30" s="98"/>
      <c r="AB30" s="43"/>
    </row>
    <row r="31" spans="1:31">
      <c r="A31" s="127">
        <v>86</v>
      </c>
      <c r="B31" s="124" t="s">
        <v>36</v>
      </c>
      <c r="C31" s="38">
        <f>SUM(Ikärakenne[[#This Row],[0–5-vuotiaat]:[16 vuotta täyttäneet]])</f>
        <v>7998</v>
      </c>
      <c r="D31" s="41">
        <v>379</v>
      </c>
      <c r="E31" s="41">
        <v>75</v>
      </c>
      <c r="F31" s="41">
        <v>598</v>
      </c>
      <c r="G31" s="41">
        <v>322</v>
      </c>
      <c r="H31" s="41">
        <v>6624</v>
      </c>
      <c r="I31" s="41">
        <v>4490</v>
      </c>
      <c r="J31" s="136">
        <v>3092348.17</v>
      </c>
      <c r="K31" s="136">
        <v>649332</v>
      </c>
      <c r="L31" s="136">
        <v>4324203.78</v>
      </c>
      <c r="M31" s="136">
        <v>4000402.4200000004</v>
      </c>
      <c r="N31" s="136">
        <v>422942.4</v>
      </c>
      <c r="O31" s="136">
        <v>360547</v>
      </c>
      <c r="P31" s="178">
        <f>SUM(Ikärakenne[[#This Row],[Ikä 0–5]:[Ikä 18-64]])</f>
        <v>12849775.770000001</v>
      </c>
      <c r="S31" s="43"/>
      <c r="T31" s="43"/>
      <c r="U31" s="79"/>
      <c r="V31" s="79"/>
      <c r="W31" s="79"/>
      <c r="X31" s="68"/>
      <c r="Y31" s="43"/>
      <c r="Z31" s="43"/>
      <c r="AA31" s="43"/>
      <c r="AB31" s="79"/>
      <c r="AC31" s="78"/>
    </row>
    <row r="32" spans="1:31">
      <c r="A32" s="127">
        <v>90</v>
      </c>
      <c r="B32" s="124" t="s">
        <v>37</v>
      </c>
      <c r="C32" s="38">
        <f>SUM(Ikärakenne[[#This Row],[0–5-vuotiaat]:[16 vuotta täyttäneet]])</f>
        <v>3001</v>
      </c>
      <c r="D32" s="41">
        <v>58</v>
      </c>
      <c r="E32" s="41">
        <v>18</v>
      </c>
      <c r="F32" s="41">
        <v>129</v>
      </c>
      <c r="G32" s="41">
        <v>95</v>
      </c>
      <c r="H32" s="41">
        <v>2701</v>
      </c>
      <c r="I32" s="41">
        <v>1388</v>
      </c>
      <c r="J32" s="136">
        <v>473235.33999999997</v>
      </c>
      <c r="K32" s="136">
        <v>155839.67999999999</v>
      </c>
      <c r="L32" s="136">
        <v>932813.19</v>
      </c>
      <c r="M32" s="136">
        <v>1180242.95</v>
      </c>
      <c r="N32" s="136">
        <v>172458.85</v>
      </c>
      <c r="O32" s="136">
        <v>111456.4</v>
      </c>
      <c r="P32" s="178">
        <f>SUM(Ikärakenne[[#This Row],[Ikä 0–5]:[Ikä 18-64]])</f>
        <v>3026046.41</v>
      </c>
      <c r="S32" s="43"/>
      <c r="T32" s="99"/>
      <c r="U32" s="43"/>
      <c r="V32" s="43"/>
      <c r="W32" s="43"/>
      <c r="X32" s="43"/>
      <c r="Y32" s="43"/>
      <c r="Z32" s="43"/>
      <c r="AA32" s="43"/>
      <c r="AB32" s="43"/>
    </row>
    <row r="33" spans="1:30">
      <c r="A33" s="127">
        <v>91</v>
      </c>
      <c r="B33" s="124" t="s">
        <v>38</v>
      </c>
      <c r="C33" s="38">
        <f>SUM(Ikärakenne[[#This Row],[0–5-vuotiaat]:[16 vuotta täyttäneet]])</f>
        <v>674500</v>
      </c>
      <c r="D33" s="41">
        <v>36692</v>
      </c>
      <c r="E33" s="41">
        <v>6220</v>
      </c>
      <c r="F33" s="41">
        <v>39357</v>
      </c>
      <c r="G33" s="41">
        <v>19174</v>
      </c>
      <c r="H33" s="41">
        <v>573057</v>
      </c>
      <c r="I33" s="41">
        <v>442093</v>
      </c>
      <c r="J33" s="136">
        <v>299378467.15999997</v>
      </c>
      <c r="K33" s="136">
        <v>53851267.200000003</v>
      </c>
      <c r="L33" s="136">
        <v>284594796.26999998</v>
      </c>
      <c r="M33" s="136">
        <v>238210298.14000002</v>
      </c>
      <c r="N33" s="136">
        <v>36589689.450000003</v>
      </c>
      <c r="O33" s="136">
        <v>35500067.899999999</v>
      </c>
      <c r="P33" s="178">
        <f>SUM(Ikärakenne[[#This Row],[Ikä 0–5]:[Ikä 18-64]])</f>
        <v>948124586.11999989</v>
      </c>
      <c r="S33" s="77"/>
      <c r="T33" s="77"/>
      <c r="U33" s="77"/>
      <c r="V33" s="77"/>
      <c r="W33" s="77"/>
      <c r="X33" s="77"/>
      <c r="Y33" s="77"/>
      <c r="Z33" s="77"/>
      <c r="AA33" s="77"/>
      <c r="AB33" s="77"/>
      <c r="AC33" s="77"/>
    </row>
    <row r="34" spans="1:30">
      <c r="A34" s="127">
        <v>92</v>
      </c>
      <c r="B34" s="124" t="s">
        <v>39</v>
      </c>
      <c r="C34" s="38">
        <f>SUM(Ikärakenne[[#This Row],[0–5-vuotiaat]:[16 vuotta täyttäneet]])</f>
        <v>247443</v>
      </c>
      <c r="D34" s="41">
        <v>15372</v>
      </c>
      <c r="E34" s="41">
        <v>2650</v>
      </c>
      <c r="F34" s="41">
        <v>16867</v>
      </c>
      <c r="G34" s="41">
        <v>8677</v>
      </c>
      <c r="H34" s="41">
        <v>203877</v>
      </c>
      <c r="I34" s="41">
        <v>159397</v>
      </c>
      <c r="J34" s="136">
        <v>125423683.55999999</v>
      </c>
      <c r="K34" s="136">
        <v>22943064</v>
      </c>
      <c r="L34" s="136">
        <v>121967132.36999999</v>
      </c>
      <c r="M34" s="136">
        <v>107799663.97</v>
      </c>
      <c r="N34" s="136">
        <v>13017546.450000001</v>
      </c>
      <c r="O34" s="136">
        <v>12799579.1</v>
      </c>
      <c r="P34" s="178">
        <f>SUM(Ikärakenne[[#This Row],[Ikä 0–5]:[Ikä 18-64]])</f>
        <v>403950669.44999999</v>
      </c>
      <c r="S34" s="77"/>
      <c r="T34" s="77"/>
      <c r="U34" s="77"/>
      <c r="V34" s="77"/>
      <c r="W34" s="77"/>
      <c r="X34" s="77"/>
      <c r="Y34" s="77"/>
      <c r="Z34" s="77"/>
      <c r="AA34" s="77"/>
      <c r="AB34" s="77"/>
      <c r="AC34" s="77"/>
      <c r="AD34" s="100"/>
    </row>
    <row r="35" spans="1:30">
      <c r="A35" s="127">
        <v>97</v>
      </c>
      <c r="B35" s="124" t="s">
        <v>40</v>
      </c>
      <c r="C35" s="38">
        <f>SUM(Ikärakenne[[#This Row],[0–5-vuotiaat]:[16 vuotta täyttäneet]])</f>
        <v>2062</v>
      </c>
      <c r="D35" s="41">
        <v>65</v>
      </c>
      <c r="E35" s="41">
        <v>15</v>
      </c>
      <c r="F35" s="41">
        <v>90</v>
      </c>
      <c r="G35" s="41">
        <v>44</v>
      </c>
      <c r="H35" s="41">
        <v>1848</v>
      </c>
      <c r="I35" s="41">
        <v>994</v>
      </c>
      <c r="J35" s="136">
        <v>530349.94999999995</v>
      </c>
      <c r="K35" s="136">
        <v>129866.40000000001</v>
      </c>
      <c r="L35" s="136">
        <v>650799.9</v>
      </c>
      <c r="M35" s="136">
        <v>546638.84000000008</v>
      </c>
      <c r="N35" s="136">
        <v>117994.8</v>
      </c>
      <c r="O35" s="136">
        <v>79818.2</v>
      </c>
      <c r="P35" s="178">
        <f>SUM(Ikärakenne[[#This Row],[Ikä 0–5]:[Ikä 18-64]])</f>
        <v>2055468.09</v>
      </c>
      <c r="S35" s="63"/>
      <c r="T35" s="63"/>
      <c r="U35" s="63"/>
      <c r="V35" s="63"/>
      <c r="W35" s="63"/>
      <c r="X35" s="63"/>
      <c r="Y35" s="63"/>
      <c r="Z35" s="63"/>
      <c r="AA35" s="63"/>
    </row>
    <row r="36" spans="1:30">
      <c r="A36" s="127">
        <v>98</v>
      </c>
      <c r="B36" s="124" t="s">
        <v>41</v>
      </c>
      <c r="C36" s="38">
        <f>SUM(Ikärakenne[[#This Row],[0–5-vuotiaat]:[16 vuotta täyttäneet]])</f>
        <v>22885</v>
      </c>
      <c r="D36" s="41">
        <v>1155</v>
      </c>
      <c r="E36" s="41">
        <v>238</v>
      </c>
      <c r="F36" s="41">
        <v>1719</v>
      </c>
      <c r="G36" s="41">
        <v>887</v>
      </c>
      <c r="H36" s="41">
        <v>18886</v>
      </c>
      <c r="I36" s="41">
        <v>12134</v>
      </c>
      <c r="J36" s="136">
        <v>9423910.6500000004</v>
      </c>
      <c r="K36" s="136">
        <v>2060546.8800000001</v>
      </c>
      <c r="L36" s="136">
        <v>12430278.09</v>
      </c>
      <c r="M36" s="136">
        <v>11019742.07</v>
      </c>
      <c r="N36" s="136">
        <v>1205871.1000000001</v>
      </c>
      <c r="O36" s="136">
        <v>974360.2</v>
      </c>
      <c r="P36" s="178">
        <f>SUM(Ikärakenne[[#This Row],[Ikä 0–5]:[Ikä 18-64]])</f>
        <v>37114708.990000002</v>
      </c>
      <c r="S36" s="101"/>
      <c r="T36" s="101"/>
      <c r="U36" s="101"/>
      <c r="V36" s="101"/>
      <c r="W36" s="101"/>
      <c r="X36" s="101"/>
      <c r="Y36" s="101"/>
      <c r="Z36" s="101"/>
      <c r="AA36" s="101"/>
      <c r="AB36" s="68"/>
    </row>
    <row r="37" spans="1:30">
      <c r="A37" s="127">
        <v>102</v>
      </c>
      <c r="B37" s="124" t="s">
        <v>42</v>
      </c>
      <c r="C37" s="38">
        <f>SUM(Ikärakenne[[#This Row],[0–5-vuotiaat]:[16 vuotta täyttäneet]])</f>
        <v>9646</v>
      </c>
      <c r="D37" s="41">
        <v>415</v>
      </c>
      <c r="E37" s="41">
        <v>82</v>
      </c>
      <c r="F37" s="41">
        <v>589</v>
      </c>
      <c r="G37" s="41">
        <v>305</v>
      </c>
      <c r="H37" s="41">
        <v>8255</v>
      </c>
      <c r="I37" s="41">
        <v>5057</v>
      </c>
      <c r="J37" s="136">
        <v>3386080.4499999997</v>
      </c>
      <c r="K37" s="136">
        <v>709936.32000000007</v>
      </c>
      <c r="L37" s="136">
        <v>4259123.79</v>
      </c>
      <c r="M37" s="136">
        <v>3789201.0500000003</v>
      </c>
      <c r="N37" s="136">
        <v>527081.75</v>
      </c>
      <c r="O37" s="136">
        <v>406077.1</v>
      </c>
      <c r="P37" s="178">
        <f>SUM(Ikärakenne[[#This Row],[Ikä 0–5]:[Ikä 18-64]])</f>
        <v>13077500.459999999</v>
      </c>
    </row>
    <row r="38" spans="1:30">
      <c r="A38" s="127">
        <v>103</v>
      </c>
      <c r="B38" s="124" t="s">
        <v>43</v>
      </c>
      <c r="C38" s="38">
        <f>SUM(Ikärakenne[[#This Row],[0–5-vuotiaat]:[16 vuotta täyttäneet]])</f>
        <v>2125</v>
      </c>
      <c r="D38" s="41">
        <v>93</v>
      </c>
      <c r="E38" s="41">
        <v>19</v>
      </c>
      <c r="F38" s="41">
        <v>120</v>
      </c>
      <c r="G38" s="41">
        <v>68</v>
      </c>
      <c r="H38" s="41">
        <v>1825</v>
      </c>
      <c r="I38" s="41">
        <v>1092</v>
      </c>
      <c r="J38" s="136">
        <v>758808.39</v>
      </c>
      <c r="K38" s="136">
        <v>164497.44</v>
      </c>
      <c r="L38" s="136">
        <v>867733.2</v>
      </c>
      <c r="M38" s="136">
        <v>844805.48</v>
      </c>
      <c r="N38" s="136">
        <v>116526.25</v>
      </c>
      <c r="O38" s="136">
        <v>87687.599999999991</v>
      </c>
      <c r="P38" s="178">
        <f>SUM(Ikärakenne[[#This Row],[Ikä 0–5]:[Ikä 18-64]])</f>
        <v>2840058.36</v>
      </c>
    </row>
    <row r="39" spans="1:30">
      <c r="A39" s="127">
        <v>105</v>
      </c>
      <c r="B39" s="124" t="s">
        <v>44</v>
      </c>
      <c r="C39" s="38">
        <f>SUM(Ikärakenne[[#This Row],[0–5-vuotiaat]:[16 vuotta täyttäneet]])</f>
        <v>2063</v>
      </c>
      <c r="D39" s="41">
        <v>70</v>
      </c>
      <c r="E39" s="41">
        <v>13</v>
      </c>
      <c r="F39" s="41">
        <v>82</v>
      </c>
      <c r="G39" s="41">
        <v>47</v>
      </c>
      <c r="H39" s="41">
        <v>1851</v>
      </c>
      <c r="I39" s="41">
        <v>892</v>
      </c>
      <c r="J39" s="136">
        <v>571146.1</v>
      </c>
      <c r="K39" s="136">
        <v>112550.88</v>
      </c>
      <c r="L39" s="136">
        <v>592951.02</v>
      </c>
      <c r="M39" s="136">
        <v>583909.67000000004</v>
      </c>
      <c r="N39" s="136">
        <v>118186.35</v>
      </c>
      <c r="O39" s="136">
        <v>71627.599999999991</v>
      </c>
      <c r="P39" s="178">
        <f>SUM(Ikärakenne[[#This Row],[Ikä 0–5]:[Ikä 18-64]])</f>
        <v>2050371.62</v>
      </c>
    </row>
    <row r="40" spans="1:30">
      <c r="A40" s="127">
        <v>106</v>
      </c>
      <c r="B40" s="124" t="s">
        <v>45</v>
      </c>
      <c r="C40" s="38">
        <f>SUM(Ikärakenne[[#This Row],[0–5-vuotiaat]:[16 vuotta täyttäneet]])</f>
        <v>46901</v>
      </c>
      <c r="D40" s="41">
        <v>2248</v>
      </c>
      <c r="E40" s="41">
        <v>468</v>
      </c>
      <c r="F40" s="41">
        <v>2944</v>
      </c>
      <c r="G40" s="41">
        <v>1634</v>
      </c>
      <c r="H40" s="41">
        <v>39607</v>
      </c>
      <c r="I40" s="41">
        <v>27145</v>
      </c>
      <c r="J40" s="136">
        <v>18341949.039999999</v>
      </c>
      <c r="K40" s="136">
        <v>4051831.68</v>
      </c>
      <c r="L40" s="136">
        <v>21288387.84</v>
      </c>
      <c r="M40" s="136">
        <v>20300178.740000002</v>
      </c>
      <c r="N40" s="136">
        <v>2528906.9500000002</v>
      </c>
      <c r="O40" s="136">
        <v>2179743.5</v>
      </c>
      <c r="P40" s="178">
        <f>SUM(Ikärakenne[[#This Row],[Ikä 0–5]:[Ikä 18-64]])</f>
        <v>68690997.75</v>
      </c>
    </row>
    <row r="41" spans="1:30">
      <c r="A41" s="127">
        <v>108</v>
      </c>
      <c r="B41" s="124" t="s">
        <v>46</v>
      </c>
      <c r="C41" s="38">
        <f>SUM(Ikärakenne[[#This Row],[0–5-vuotiaat]:[16 vuotta täyttäneet]])</f>
        <v>10319</v>
      </c>
      <c r="D41" s="41">
        <v>550</v>
      </c>
      <c r="E41" s="41">
        <v>120</v>
      </c>
      <c r="F41" s="41">
        <v>798</v>
      </c>
      <c r="G41" s="41">
        <v>376</v>
      </c>
      <c r="H41" s="41">
        <v>8475</v>
      </c>
      <c r="I41" s="41">
        <v>5617</v>
      </c>
      <c r="J41" s="136">
        <v>4487576.5</v>
      </c>
      <c r="K41" s="136">
        <v>1038931.2000000001</v>
      </c>
      <c r="L41" s="136">
        <v>5770425.7799999993</v>
      </c>
      <c r="M41" s="136">
        <v>4671277.3600000003</v>
      </c>
      <c r="N41" s="136">
        <v>541128.75</v>
      </c>
      <c r="O41" s="136">
        <v>451045.1</v>
      </c>
      <c r="P41" s="178">
        <f>SUM(Ikärakenne[[#This Row],[Ikä 0–5]:[Ikä 18-64]])</f>
        <v>16960384.690000001</v>
      </c>
    </row>
    <row r="42" spans="1:30">
      <c r="A42" s="127">
        <v>109</v>
      </c>
      <c r="B42" s="124" t="s">
        <v>47</v>
      </c>
      <c r="C42" s="38">
        <f>SUM(Ikärakenne[[#This Row],[0–5-vuotiaat]:[16 vuotta täyttäneet]])</f>
        <v>68319</v>
      </c>
      <c r="D42" s="41">
        <v>3155</v>
      </c>
      <c r="E42" s="41">
        <v>608</v>
      </c>
      <c r="F42" s="41">
        <v>4183</v>
      </c>
      <c r="G42" s="41">
        <v>2222</v>
      </c>
      <c r="H42" s="41">
        <v>58151</v>
      </c>
      <c r="I42" s="41">
        <v>38148</v>
      </c>
      <c r="J42" s="136">
        <v>25742370.649999999</v>
      </c>
      <c r="K42" s="136">
        <v>5263918.08</v>
      </c>
      <c r="L42" s="136">
        <v>30247733.129999999</v>
      </c>
      <c r="M42" s="136">
        <v>27605261.420000002</v>
      </c>
      <c r="N42" s="136">
        <v>3712941.35</v>
      </c>
      <c r="O42" s="136">
        <v>3063284.4</v>
      </c>
      <c r="P42" s="178">
        <f>SUM(Ikärakenne[[#This Row],[Ikä 0–5]:[Ikä 18-64]])</f>
        <v>95635509.030000001</v>
      </c>
    </row>
    <row r="43" spans="1:30">
      <c r="A43" s="127">
        <v>111</v>
      </c>
      <c r="B43" s="124" t="s">
        <v>48</v>
      </c>
      <c r="C43" s="38">
        <f>SUM(Ikärakenne[[#This Row],[0–5-vuotiaat]:[16 vuotta täyttäneet]])</f>
        <v>17953</v>
      </c>
      <c r="D43" s="41">
        <v>530</v>
      </c>
      <c r="E43" s="41">
        <v>119</v>
      </c>
      <c r="F43" s="41">
        <v>836</v>
      </c>
      <c r="G43" s="41">
        <v>478</v>
      </c>
      <c r="H43" s="41">
        <v>15990</v>
      </c>
      <c r="I43" s="41">
        <v>8967</v>
      </c>
      <c r="J43" s="136">
        <v>4324391.8999999994</v>
      </c>
      <c r="K43" s="136">
        <v>1030273.4400000001</v>
      </c>
      <c r="L43" s="136">
        <v>6045207.96</v>
      </c>
      <c r="M43" s="136">
        <v>5938485.5800000001</v>
      </c>
      <c r="N43" s="136">
        <v>1020961.5</v>
      </c>
      <c r="O43" s="136">
        <v>720050.1</v>
      </c>
      <c r="P43" s="178">
        <f>SUM(Ikärakenne[[#This Row],[Ikä 0–5]:[Ikä 18-64]])</f>
        <v>19079370.480000004</v>
      </c>
    </row>
    <row r="44" spans="1:30">
      <c r="A44" s="127">
        <v>139</v>
      </c>
      <c r="B44" s="124" t="s">
        <v>49</v>
      </c>
      <c r="C44" s="38">
        <f>SUM(Ikärakenne[[#This Row],[0–5-vuotiaat]:[16 vuotta täyttäneet]])</f>
        <v>9766</v>
      </c>
      <c r="D44" s="41">
        <v>671</v>
      </c>
      <c r="E44" s="41">
        <v>132</v>
      </c>
      <c r="F44" s="41">
        <v>914</v>
      </c>
      <c r="G44" s="41">
        <v>485</v>
      </c>
      <c r="H44" s="41">
        <v>7564</v>
      </c>
      <c r="I44" s="41">
        <v>5050</v>
      </c>
      <c r="J44" s="136">
        <v>5474843.3300000001</v>
      </c>
      <c r="K44" s="136">
        <v>1142824.32</v>
      </c>
      <c r="L44" s="136">
        <v>6609234.54</v>
      </c>
      <c r="M44" s="136">
        <v>6025450.8500000006</v>
      </c>
      <c r="N44" s="136">
        <v>482961.4</v>
      </c>
      <c r="O44" s="136">
        <v>405515</v>
      </c>
      <c r="P44" s="178">
        <f>SUM(Ikärakenne[[#This Row],[Ikä 0–5]:[Ikä 18-64]])</f>
        <v>20140829.440000001</v>
      </c>
    </row>
    <row r="45" spans="1:30">
      <c r="A45" s="127">
        <v>140</v>
      </c>
      <c r="B45" s="124" t="s">
        <v>50</v>
      </c>
      <c r="C45" s="38">
        <f>SUM(Ikärakenne[[#This Row],[0–5-vuotiaat]:[16 vuotta täyttäneet]])</f>
        <v>20618</v>
      </c>
      <c r="D45" s="41">
        <v>880</v>
      </c>
      <c r="E45" s="41">
        <v>201</v>
      </c>
      <c r="F45" s="41">
        <v>1346</v>
      </c>
      <c r="G45" s="41">
        <v>731</v>
      </c>
      <c r="H45" s="41">
        <v>17460</v>
      </c>
      <c r="I45" s="41">
        <v>10977</v>
      </c>
      <c r="J45" s="136">
        <v>7180122.3999999994</v>
      </c>
      <c r="K45" s="136">
        <v>1740209.76</v>
      </c>
      <c r="L45" s="136">
        <v>9733074.0599999987</v>
      </c>
      <c r="M45" s="136">
        <v>9081658.9100000001</v>
      </c>
      <c r="N45" s="136">
        <v>1114821</v>
      </c>
      <c r="O45" s="136">
        <v>881453.1</v>
      </c>
      <c r="P45" s="178">
        <f>SUM(Ikärakenne[[#This Row],[Ikä 0–5]:[Ikä 18-64]])</f>
        <v>29731339.23</v>
      </c>
    </row>
    <row r="46" spans="1:30">
      <c r="A46" s="127">
        <v>142</v>
      </c>
      <c r="B46" s="124" t="s">
        <v>51</v>
      </c>
      <c r="C46" s="38">
        <f>SUM(Ikärakenne[[#This Row],[0–5-vuotiaat]:[16 vuotta täyttäneet]])</f>
        <v>6444</v>
      </c>
      <c r="D46" s="41">
        <v>282</v>
      </c>
      <c r="E46" s="41">
        <v>54</v>
      </c>
      <c r="F46" s="41">
        <v>385</v>
      </c>
      <c r="G46" s="41">
        <v>200</v>
      </c>
      <c r="H46" s="41">
        <v>5523</v>
      </c>
      <c r="I46" s="41">
        <v>3208</v>
      </c>
      <c r="J46" s="136">
        <v>2300902.86</v>
      </c>
      <c r="K46" s="136">
        <v>467519.04000000004</v>
      </c>
      <c r="L46" s="136">
        <v>2783977.35</v>
      </c>
      <c r="M46" s="136">
        <v>2484722</v>
      </c>
      <c r="N46" s="136">
        <v>352643.55</v>
      </c>
      <c r="O46" s="136">
        <v>257602.4</v>
      </c>
      <c r="P46" s="178">
        <f>SUM(Ikärakenne[[#This Row],[Ikä 0–5]:[Ikä 18-64]])</f>
        <v>8647367.2000000011</v>
      </c>
    </row>
    <row r="47" spans="1:30">
      <c r="A47" s="127">
        <v>143</v>
      </c>
      <c r="B47" s="124" t="s">
        <v>52</v>
      </c>
      <c r="C47" s="38">
        <f>SUM(Ikärakenne[[#This Row],[0–5-vuotiaat]:[16 vuotta täyttäneet]])</f>
        <v>6850</v>
      </c>
      <c r="D47" s="41">
        <v>235</v>
      </c>
      <c r="E47" s="41">
        <v>76</v>
      </c>
      <c r="F47" s="41">
        <v>435</v>
      </c>
      <c r="G47" s="41">
        <v>231</v>
      </c>
      <c r="H47" s="41">
        <v>5873</v>
      </c>
      <c r="I47" s="41">
        <v>3435</v>
      </c>
      <c r="J47" s="136">
        <v>1917419.0499999998</v>
      </c>
      <c r="K47" s="136">
        <v>657989.76</v>
      </c>
      <c r="L47" s="136">
        <v>3145532.8499999996</v>
      </c>
      <c r="M47" s="136">
        <v>2869853.91</v>
      </c>
      <c r="N47" s="136">
        <v>374991.05</v>
      </c>
      <c r="O47" s="136">
        <v>275830.5</v>
      </c>
      <c r="P47" s="178">
        <f>SUM(Ikärakenne[[#This Row],[Ikä 0–5]:[Ikä 18-64]])</f>
        <v>9241617.120000001</v>
      </c>
    </row>
    <row r="48" spans="1:30">
      <c r="A48" s="127">
        <v>145</v>
      </c>
      <c r="B48" s="124" t="s">
        <v>53</v>
      </c>
      <c r="C48" s="38">
        <f>SUM(Ikärakenne[[#This Row],[0–5-vuotiaat]:[16 vuotta täyttäneet]])</f>
        <v>12343</v>
      </c>
      <c r="D48" s="41">
        <v>847</v>
      </c>
      <c r="E48" s="41">
        <v>145</v>
      </c>
      <c r="F48" s="41">
        <v>988</v>
      </c>
      <c r="G48" s="41">
        <v>523</v>
      </c>
      <c r="H48" s="41">
        <v>9840</v>
      </c>
      <c r="I48" s="41">
        <v>6666</v>
      </c>
      <c r="J48" s="136">
        <v>6910867.8099999996</v>
      </c>
      <c r="K48" s="136">
        <v>1255375.2</v>
      </c>
      <c r="L48" s="136">
        <v>7144336.6799999997</v>
      </c>
      <c r="M48" s="136">
        <v>6497548.0300000003</v>
      </c>
      <c r="N48" s="136">
        <v>628284</v>
      </c>
      <c r="O48" s="136">
        <v>535279.79999999993</v>
      </c>
      <c r="P48" s="178">
        <f>SUM(Ikärakenne[[#This Row],[Ikä 0–5]:[Ikä 18-64]])</f>
        <v>22971691.52</v>
      </c>
    </row>
    <row r="49" spans="1:16">
      <c r="A49" s="127">
        <v>146</v>
      </c>
      <c r="B49" s="124" t="s">
        <v>54</v>
      </c>
      <c r="C49" s="38">
        <f>SUM(Ikärakenne[[#This Row],[0–5-vuotiaat]:[16 vuotta täyttäneet]])</f>
        <v>4406</v>
      </c>
      <c r="D49" s="41">
        <v>101</v>
      </c>
      <c r="E49" s="41">
        <v>23</v>
      </c>
      <c r="F49" s="41">
        <v>177</v>
      </c>
      <c r="G49" s="41">
        <v>86</v>
      </c>
      <c r="H49" s="41">
        <v>4019</v>
      </c>
      <c r="I49" s="41">
        <v>1935</v>
      </c>
      <c r="J49" s="136">
        <v>824082.23</v>
      </c>
      <c r="K49" s="136">
        <v>199128.48</v>
      </c>
      <c r="L49" s="136">
        <v>1279906.47</v>
      </c>
      <c r="M49" s="136">
        <v>1068430.46</v>
      </c>
      <c r="N49" s="136">
        <v>256613.15</v>
      </c>
      <c r="O49" s="136">
        <v>155380.5</v>
      </c>
      <c r="P49" s="178">
        <f>SUM(Ikärakenne[[#This Row],[Ikä 0–5]:[Ikä 18-64]])</f>
        <v>3783541.2899999996</v>
      </c>
    </row>
    <row r="50" spans="1:16">
      <c r="A50" s="127">
        <v>148</v>
      </c>
      <c r="B50" s="124" t="s">
        <v>55</v>
      </c>
      <c r="C50" s="38">
        <f>SUM(Ikärakenne[[#This Row],[0–5-vuotiaat]:[16 vuotta täyttäneet]])</f>
        <v>7127</v>
      </c>
      <c r="D50" s="41">
        <v>294</v>
      </c>
      <c r="E50" s="41">
        <v>48</v>
      </c>
      <c r="F50" s="41">
        <v>366</v>
      </c>
      <c r="G50" s="41">
        <v>199</v>
      </c>
      <c r="H50" s="41">
        <v>6220</v>
      </c>
      <c r="I50" s="41">
        <v>4110</v>
      </c>
      <c r="J50" s="136">
        <v>2398813.6199999996</v>
      </c>
      <c r="K50" s="136">
        <v>415572.47999999998</v>
      </c>
      <c r="L50" s="136">
        <v>2646586.2599999998</v>
      </c>
      <c r="M50" s="136">
        <v>2472298.39</v>
      </c>
      <c r="N50" s="136">
        <v>397147</v>
      </c>
      <c r="O50" s="136">
        <v>330033</v>
      </c>
      <c r="P50" s="178">
        <f>SUM(Ikärakenne[[#This Row],[Ikä 0–5]:[Ikä 18-64]])</f>
        <v>8660450.75</v>
      </c>
    </row>
    <row r="51" spans="1:16">
      <c r="A51" s="127">
        <v>149</v>
      </c>
      <c r="B51" s="124" t="s">
        <v>56</v>
      </c>
      <c r="C51" s="38">
        <f>SUM(Ikärakenne[[#This Row],[0–5-vuotiaat]:[16 vuotta täyttäneet]])</f>
        <v>5379</v>
      </c>
      <c r="D51" s="41">
        <v>273</v>
      </c>
      <c r="E51" s="41">
        <v>40</v>
      </c>
      <c r="F51" s="41">
        <v>323</v>
      </c>
      <c r="G51" s="41">
        <v>204</v>
      </c>
      <c r="H51" s="41">
        <v>4539</v>
      </c>
      <c r="I51" s="41">
        <v>2974</v>
      </c>
      <c r="J51" s="136">
        <v>2227469.79</v>
      </c>
      <c r="K51" s="136">
        <v>346310.40000000002</v>
      </c>
      <c r="L51" s="136">
        <v>2335648.5299999998</v>
      </c>
      <c r="M51" s="136">
        <v>2534416.44</v>
      </c>
      <c r="N51" s="136">
        <v>289815.15000000002</v>
      </c>
      <c r="O51" s="136">
        <v>238812.19999999998</v>
      </c>
      <c r="P51" s="178">
        <f>SUM(Ikärakenne[[#This Row],[Ikä 0–5]:[Ikä 18-64]])</f>
        <v>7972472.5100000007</v>
      </c>
    </row>
    <row r="52" spans="1:16">
      <c r="A52" s="127">
        <v>151</v>
      </c>
      <c r="B52" s="124" t="s">
        <v>57</v>
      </c>
      <c r="C52" s="38">
        <f>SUM(Ikärakenne[[#This Row],[0–5-vuotiaat]:[16 vuotta täyttäneet]])</f>
        <v>1814</v>
      </c>
      <c r="D52" s="41">
        <v>64</v>
      </c>
      <c r="E52" s="41">
        <v>9</v>
      </c>
      <c r="F52" s="41">
        <v>90</v>
      </c>
      <c r="G52" s="41">
        <v>55</v>
      </c>
      <c r="H52" s="41">
        <v>1596</v>
      </c>
      <c r="I52" s="41">
        <v>908</v>
      </c>
      <c r="J52" s="136">
        <v>522190.72</v>
      </c>
      <c r="K52" s="136">
        <v>77919.839999999997</v>
      </c>
      <c r="L52" s="136">
        <v>650799.9</v>
      </c>
      <c r="M52" s="136">
        <v>683298.55</v>
      </c>
      <c r="N52" s="136">
        <v>101904.6</v>
      </c>
      <c r="O52" s="136">
        <v>72912.399999999994</v>
      </c>
      <c r="P52" s="178">
        <f>SUM(Ikärakenne[[#This Row],[Ikä 0–5]:[Ikä 18-64]])</f>
        <v>2109026.0100000002</v>
      </c>
    </row>
    <row r="53" spans="1:16">
      <c r="A53" s="127">
        <v>152</v>
      </c>
      <c r="B53" s="124" t="s">
        <v>58</v>
      </c>
      <c r="C53" s="38">
        <f>SUM(Ikärakenne[[#This Row],[0–5-vuotiaat]:[16 vuotta täyttäneet]])</f>
        <v>4357</v>
      </c>
      <c r="D53" s="41">
        <v>180</v>
      </c>
      <c r="E53" s="41">
        <v>32</v>
      </c>
      <c r="F53" s="41">
        <v>333</v>
      </c>
      <c r="G53" s="41">
        <v>177</v>
      </c>
      <c r="H53" s="41">
        <v>3635</v>
      </c>
      <c r="I53" s="41">
        <v>2219</v>
      </c>
      <c r="J53" s="136">
        <v>1468661.4</v>
      </c>
      <c r="K53" s="136">
        <v>277048.32000000001</v>
      </c>
      <c r="L53" s="136">
        <v>2407959.63</v>
      </c>
      <c r="M53" s="136">
        <v>2198978.9700000002</v>
      </c>
      <c r="N53" s="136">
        <v>232094.75</v>
      </c>
      <c r="O53" s="136">
        <v>178185.69999999998</v>
      </c>
      <c r="P53" s="178">
        <f>SUM(Ikärakenne[[#This Row],[Ikä 0–5]:[Ikä 18-64]])</f>
        <v>6762928.7700000005</v>
      </c>
    </row>
    <row r="54" spans="1:16">
      <c r="A54" s="127">
        <v>153</v>
      </c>
      <c r="B54" s="124" t="s">
        <v>59</v>
      </c>
      <c r="C54" s="38">
        <f>SUM(Ikärakenne[[#This Row],[0–5-vuotiaat]:[16 vuotta täyttäneet]])</f>
        <v>24919</v>
      </c>
      <c r="D54" s="41">
        <v>825</v>
      </c>
      <c r="E54" s="41">
        <v>188</v>
      </c>
      <c r="F54" s="41">
        <v>1304</v>
      </c>
      <c r="G54" s="41">
        <v>697</v>
      </c>
      <c r="H54" s="41">
        <v>21905</v>
      </c>
      <c r="I54" s="41">
        <v>13249</v>
      </c>
      <c r="J54" s="136">
        <v>6731364.75</v>
      </c>
      <c r="K54" s="136">
        <v>1627658.8800000001</v>
      </c>
      <c r="L54" s="136">
        <v>9429367.4399999995</v>
      </c>
      <c r="M54" s="136">
        <v>8659256.1699999999</v>
      </c>
      <c r="N54" s="136">
        <v>1398634.25</v>
      </c>
      <c r="O54" s="136">
        <v>1063894.7</v>
      </c>
      <c r="P54" s="178">
        <f>SUM(Ikärakenne[[#This Row],[Ikä 0–5]:[Ikä 18-64]])</f>
        <v>28910176.190000001</v>
      </c>
    </row>
    <row r="55" spans="1:16">
      <c r="A55" s="127">
        <v>165</v>
      </c>
      <c r="B55" s="124" t="s">
        <v>60</v>
      </c>
      <c r="C55" s="38">
        <f>SUM(Ikärakenne[[#This Row],[0–5-vuotiaat]:[16 vuotta täyttäneet]])</f>
        <v>16123</v>
      </c>
      <c r="D55" s="41">
        <v>822</v>
      </c>
      <c r="E55" s="41">
        <v>163</v>
      </c>
      <c r="F55" s="41">
        <v>1068</v>
      </c>
      <c r="G55" s="41">
        <v>625</v>
      </c>
      <c r="H55" s="41">
        <v>13445</v>
      </c>
      <c r="I55" s="41">
        <v>8879</v>
      </c>
      <c r="J55" s="136">
        <v>6706887.0599999996</v>
      </c>
      <c r="K55" s="136">
        <v>1411214.8800000001</v>
      </c>
      <c r="L55" s="136">
        <v>7722825.4799999995</v>
      </c>
      <c r="M55" s="136">
        <v>7764756.25</v>
      </c>
      <c r="N55" s="136">
        <v>858463.25</v>
      </c>
      <c r="O55" s="136">
        <v>712983.7</v>
      </c>
      <c r="P55" s="178">
        <f>SUM(Ikärakenne[[#This Row],[Ikä 0–5]:[Ikä 18-64]])</f>
        <v>25177130.619999997</v>
      </c>
    </row>
    <row r="56" spans="1:16">
      <c r="A56" s="127">
        <v>167</v>
      </c>
      <c r="B56" s="124" t="s">
        <v>61</v>
      </c>
      <c r="C56" s="38">
        <f>SUM(Ikärakenne[[#This Row],[0–5-vuotiaat]:[16 vuotta täyttäneet]])</f>
        <v>78062</v>
      </c>
      <c r="D56" s="41">
        <v>3437</v>
      </c>
      <c r="E56" s="41">
        <v>640</v>
      </c>
      <c r="F56" s="41">
        <v>4436</v>
      </c>
      <c r="G56" s="41">
        <v>2264</v>
      </c>
      <c r="H56" s="41">
        <v>67285</v>
      </c>
      <c r="I56" s="41">
        <v>47403</v>
      </c>
      <c r="J56" s="136">
        <v>28043273.509999998</v>
      </c>
      <c r="K56" s="136">
        <v>5540966.4000000004</v>
      </c>
      <c r="L56" s="136">
        <v>32077203.959999997</v>
      </c>
      <c r="M56" s="136">
        <v>28127053.040000003</v>
      </c>
      <c r="N56" s="136">
        <v>4296147.25</v>
      </c>
      <c r="O56" s="136">
        <v>3806460.9</v>
      </c>
      <c r="P56" s="178">
        <f>SUM(Ikärakenne[[#This Row],[Ikä 0–5]:[Ikä 18-64]])</f>
        <v>101891105.06</v>
      </c>
    </row>
    <row r="57" spans="1:16">
      <c r="A57" s="127">
        <v>169</v>
      </c>
      <c r="B57" s="124" t="s">
        <v>62</v>
      </c>
      <c r="C57" s="38">
        <f>SUM(Ikärakenne[[#This Row],[0–5-vuotiaat]:[16 vuotta täyttäneet]])</f>
        <v>4916</v>
      </c>
      <c r="D57" s="41">
        <v>215</v>
      </c>
      <c r="E57" s="41">
        <v>33</v>
      </c>
      <c r="F57" s="41">
        <v>313</v>
      </c>
      <c r="G57" s="41">
        <v>195</v>
      </c>
      <c r="H57" s="41">
        <v>4160</v>
      </c>
      <c r="I57" s="41">
        <v>2589</v>
      </c>
      <c r="J57" s="136">
        <v>1754234.45</v>
      </c>
      <c r="K57" s="136">
        <v>285706.08</v>
      </c>
      <c r="L57" s="136">
        <v>2263337.4299999997</v>
      </c>
      <c r="M57" s="136">
        <v>2422603.9500000002</v>
      </c>
      <c r="N57" s="136">
        <v>265616</v>
      </c>
      <c r="O57" s="136">
        <v>207896.69999999998</v>
      </c>
      <c r="P57" s="178">
        <f>SUM(Ikärakenne[[#This Row],[Ikä 0–5]:[Ikä 18-64]])</f>
        <v>7199394.6100000003</v>
      </c>
    </row>
    <row r="58" spans="1:16">
      <c r="A58" s="127">
        <v>171</v>
      </c>
      <c r="B58" s="124" t="s">
        <v>63</v>
      </c>
      <c r="C58" s="38">
        <f>SUM(Ikärakenne[[#This Row],[0–5-vuotiaat]:[16 vuotta täyttäneet]])</f>
        <v>4590</v>
      </c>
      <c r="D58" s="41">
        <v>188</v>
      </c>
      <c r="E58" s="41">
        <v>41</v>
      </c>
      <c r="F58" s="41">
        <v>265</v>
      </c>
      <c r="G58" s="41">
        <v>157</v>
      </c>
      <c r="H58" s="41">
        <v>3939</v>
      </c>
      <c r="I58" s="41">
        <v>2333</v>
      </c>
      <c r="J58" s="136">
        <v>1533935.24</v>
      </c>
      <c r="K58" s="136">
        <v>354968.16000000003</v>
      </c>
      <c r="L58" s="136">
        <v>1916244.15</v>
      </c>
      <c r="M58" s="136">
        <v>1950506.77</v>
      </c>
      <c r="N58" s="136">
        <v>251505.15</v>
      </c>
      <c r="O58" s="136">
        <v>187339.9</v>
      </c>
      <c r="P58" s="178">
        <f>SUM(Ikärakenne[[#This Row],[Ikä 0–5]:[Ikä 18-64]])</f>
        <v>6194499.370000001</v>
      </c>
    </row>
    <row r="59" spans="1:16">
      <c r="A59" s="127">
        <v>172</v>
      </c>
      <c r="B59" s="124" t="s">
        <v>64</v>
      </c>
      <c r="C59" s="38">
        <f>SUM(Ikärakenne[[#This Row],[0–5-vuotiaat]:[16 vuotta täyttäneet]])</f>
        <v>4079</v>
      </c>
      <c r="D59" s="41">
        <v>118</v>
      </c>
      <c r="E59" s="41">
        <v>23</v>
      </c>
      <c r="F59" s="41">
        <v>181</v>
      </c>
      <c r="G59" s="41">
        <v>116</v>
      </c>
      <c r="H59" s="41">
        <v>3641</v>
      </c>
      <c r="I59" s="41">
        <v>1888</v>
      </c>
      <c r="J59" s="136">
        <v>962789.1399999999</v>
      </c>
      <c r="K59" s="136">
        <v>199128.48</v>
      </c>
      <c r="L59" s="136">
        <v>1308830.9099999999</v>
      </c>
      <c r="M59" s="136">
        <v>1441138.76</v>
      </c>
      <c r="N59" s="136">
        <v>232477.85</v>
      </c>
      <c r="O59" s="136">
        <v>151606.39999999999</v>
      </c>
      <c r="P59" s="178">
        <f>SUM(Ikärakenne[[#This Row],[Ikä 0–5]:[Ikä 18-64]])</f>
        <v>4295971.54</v>
      </c>
    </row>
    <row r="60" spans="1:16">
      <c r="A60" s="127">
        <v>176</v>
      </c>
      <c r="B60" s="124" t="s">
        <v>65</v>
      </c>
      <c r="C60" s="38">
        <f>SUM(Ikärakenne[[#This Row],[0–5-vuotiaat]:[16 vuotta täyttäneet]])</f>
        <v>4259</v>
      </c>
      <c r="D60" s="41">
        <v>117</v>
      </c>
      <c r="E60" s="41">
        <v>22</v>
      </c>
      <c r="F60" s="41">
        <v>159</v>
      </c>
      <c r="G60" s="41">
        <v>115</v>
      </c>
      <c r="H60" s="41">
        <v>3846</v>
      </c>
      <c r="I60" s="41">
        <v>2050</v>
      </c>
      <c r="J60" s="136">
        <v>954629.90999999992</v>
      </c>
      <c r="K60" s="136">
        <v>190470.72</v>
      </c>
      <c r="L60" s="136">
        <v>1149746.49</v>
      </c>
      <c r="M60" s="136">
        <v>1428715.1500000001</v>
      </c>
      <c r="N60" s="136">
        <v>245567.1</v>
      </c>
      <c r="O60" s="136">
        <v>164615</v>
      </c>
      <c r="P60" s="178">
        <f>SUM(Ikärakenne[[#This Row],[Ikä 0–5]:[Ikä 18-64]])</f>
        <v>4133744.3700000006</v>
      </c>
    </row>
    <row r="61" spans="1:16">
      <c r="A61" s="127">
        <v>177</v>
      </c>
      <c r="B61" s="124" t="s">
        <v>66</v>
      </c>
      <c r="C61" s="38">
        <f>SUM(Ikärakenne[[#This Row],[0–5-vuotiaat]:[16 vuotta täyttäneet]])</f>
        <v>1708</v>
      </c>
      <c r="D61" s="41">
        <v>64</v>
      </c>
      <c r="E61" s="41">
        <v>14</v>
      </c>
      <c r="F61" s="41">
        <v>112</v>
      </c>
      <c r="G61" s="41">
        <v>62</v>
      </c>
      <c r="H61" s="41">
        <v>1456</v>
      </c>
      <c r="I61" s="41">
        <v>850</v>
      </c>
      <c r="J61" s="136">
        <v>522190.72</v>
      </c>
      <c r="K61" s="136">
        <v>121208.64</v>
      </c>
      <c r="L61" s="136">
        <v>809884.32</v>
      </c>
      <c r="M61" s="136">
        <v>770263.82000000007</v>
      </c>
      <c r="N61" s="136">
        <v>92965.6</v>
      </c>
      <c r="O61" s="136">
        <v>68255</v>
      </c>
      <c r="P61" s="178">
        <f>SUM(Ikärakenne[[#This Row],[Ikä 0–5]:[Ikä 18-64]])</f>
        <v>2384768.1</v>
      </c>
    </row>
    <row r="62" spans="1:16">
      <c r="A62" s="127">
        <v>178</v>
      </c>
      <c r="B62" s="124" t="s">
        <v>67</v>
      </c>
      <c r="C62" s="38">
        <f>SUM(Ikärakenne[[#This Row],[0–5-vuotiaat]:[16 vuotta täyttäneet]])</f>
        <v>5734</v>
      </c>
      <c r="D62" s="41">
        <v>203</v>
      </c>
      <c r="E62" s="41">
        <v>46</v>
      </c>
      <c r="F62" s="41">
        <v>288</v>
      </c>
      <c r="G62" s="41">
        <v>142</v>
      </c>
      <c r="H62" s="41">
        <v>5055</v>
      </c>
      <c r="I62" s="41">
        <v>2743</v>
      </c>
      <c r="J62" s="136">
        <v>1656323.69</v>
      </c>
      <c r="K62" s="136">
        <v>398256.96</v>
      </c>
      <c r="L62" s="136">
        <v>2082559.68</v>
      </c>
      <c r="M62" s="136">
        <v>1764152.62</v>
      </c>
      <c r="N62" s="136">
        <v>322761.75</v>
      </c>
      <c r="O62" s="136">
        <v>220262.9</v>
      </c>
      <c r="P62" s="178">
        <f>SUM(Ikärakenne[[#This Row],[Ikä 0–5]:[Ikä 18-64]])</f>
        <v>6444317.6000000006</v>
      </c>
    </row>
    <row r="63" spans="1:16">
      <c r="A63" s="127">
        <v>179</v>
      </c>
      <c r="B63" s="124" t="s">
        <v>68</v>
      </c>
      <c r="C63" s="38">
        <f>SUM(Ikärakenne[[#This Row],[0–5-vuotiaat]:[16 vuotta täyttäneet]])</f>
        <v>147746</v>
      </c>
      <c r="D63" s="41">
        <v>7365</v>
      </c>
      <c r="E63" s="41">
        <v>1329</v>
      </c>
      <c r="F63" s="41">
        <v>9120</v>
      </c>
      <c r="G63" s="41">
        <v>4790</v>
      </c>
      <c r="H63" s="41">
        <v>125142</v>
      </c>
      <c r="I63" s="41">
        <v>93446</v>
      </c>
      <c r="J63" s="136">
        <v>60092728.949999996</v>
      </c>
      <c r="K63" s="136">
        <v>11506163.040000001</v>
      </c>
      <c r="L63" s="136">
        <v>65947723.199999996</v>
      </c>
      <c r="M63" s="136">
        <v>59509091.900000006</v>
      </c>
      <c r="N63" s="136">
        <v>7990316.7000000002</v>
      </c>
      <c r="O63" s="136">
        <v>7503713.7999999998</v>
      </c>
      <c r="P63" s="178">
        <f>SUM(Ikärakenne[[#This Row],[Ikä 0–5]:[Ikä 18-64]])</f>
        <v>212549737.59</v>
      </c>
    </row>
    <row r="64" spans="1:16">
      <c r="A64" s="127">
        <v>181</v>
      </c>
      <c r="B64" s="124" t="s">
        <v>69</v>
      </c>
      <c r="C64" s="38">
        <f>SUM(Ikärakenne[[#This Row],[0–5-vuotiaat]:[16 vuotta täyttäneet]])</f>
        <v>1682</v>
      </c>
      <c r="D64" s="41">
        <v>68</v>
      </c>
      <c r="E64" s="41">
        <v>13</v>
      </c>
      <c r="F64" s="41">
        <v>121</v>
      </c>
      <c r="G64" s="41">
        <v>58</v>
      </c>
      <c r="H64" s="41">
        <v>1422</v>
      </c>
      <c r="I64" s="41">
        <v>842</v>
      </c>
      <c r="J64" s="136">
        <v>554827.64</v>
      </c>
      <c r="K64" s="136">
        <v>112550.88</v>
      </c>
      <c r="L64" s="136">
        <v>874964.30999999994</v>
      </c>
      <c r="M64" s="136">
        <v>720569.38</v>
      </c>
      <c r="N64" s="136">
        <v>90794.7</v>
      </c>
      <c r="O64" s="136">
        <v>67612.599999999991</v>
      </c>
      <c r="P64" s="178">
        <f>SUM(Ikärakenne[[#This Row],[Ikä 0–5]:[Ikä 18-64]])</f>
        <v>2421319.5100000002</v>
      </c>
    </row>
    <row r="65" spans="1:16">
      <c r="A65" s="127">
        <v>182</v>
      </c>
      <c r="B65" s="124" t="s">
        <v>70</v>
      </c>
      <c r="C65" s="38">
        <f>SUM(Ikärakenne[[#This Row],[0–5-vuotiaat]:[16 vuotta täyttäneet]])</f>
        <v>19182</v>
      </c>
      <c r="D65" s="41">
        <v>605</v>
      </c>
      <c r="E65" s="41">
        <v>122</v>
      </c>
      <c r="F65" s="41">
        <v>1050</v>
      </c>
      <c r="G65" s="41">
        <v>630</v>
      </c>
      <c r="H65" s="41">
        <v>16775</v>
      </c>
      <c r="I65" s="41">
        <v>9699</v>
      </c>
      <c r="J65" s="136">
        <v>4936334.1499999994</v>
      </c>
      <c r="K65" s="136">
        <v>1056246.72</v>
      </c>
      <c r="L65" s="136">
        <v>7592665.5</v>
      </c>
      <c r="M65" s="136">
        <v>7826874.3000000007</v>
      </c>
      <c r="N65" s="136">
        <v>1071083.75</v>
      </c>
      <c r="O65" s="136">
        <v>778829.7</v>
      </c>
      <c r="P65" s="178">
        <f>SUM(Ikärakenne[[#This Row],[Ikä 0–5]:[Ikä 18-64]])</f>
        <v>23262034.120000001</v>
      </c>
    </row>
    <row r="66" spans="1:16">
      <c r="A66" s="127">
        <v>186</v>
      </c>
      <c r="B66" s="124" t="s">
        <v>71</v>
      </c>
      <c r="C66" s="38">
        <f>SUM(Ikärakenne[[#This Row],[0–5-vuotiaat]:[16 vuotta täyttäneet]])</f>
        <v>46490</v>
      </c>
      <c r="D66" s="41">
        <v>2696</v>
      </c>
      <c r="E66" s="41">
        <v>471</v>
      </c>
      <c r="F66" s="41">
        <v>3229</v>
      </c>
      <c r="G66" s="41">
        <v>1723</v>
      </c>
      <c r="H66" s="41">
        <v>38371</v>
      </c>
      <c r="I66" s="41">
        <v>28047</v>
      </c>
      <c r="J66" s="136">
        <v>21997284.079999998</v>
      </c>
      <c r="K66" s="136">
        <v>4077804.96</v>
      </c>
      <c r="L66" s="136">
        <v>23349254.189999998</v>
      </c>
      <c r="M66" s="136">
        <v>21405880.030000001</v>
      </c>
      <c r="N66" s="136">
        <v>2449988.35</v>
      </c>
      <c r="O66" s="136">
        <v>2252174.1</v>
      </c>
      <c r="P66" s="178">
        <f>SUM(Ikärakenne[[#This Row],[Ikä 0–5]:[Ikä 18-64]])</f>
        <v>75532385.709999979</v>
      </c>
    </row>
    <row r="67" spans="1:16">
      <c r="A67" s="127">
        <v>202</v>
      </c>
      <c r="B67" s="124" t="s">
        <v>72</v>
      </c>
      <c r="C67" s="38">
        <f>SUM(Ikärakenne[[#This Row],[0–5-vuotiaat]:[16 vuotta täyttäneet]])</f>
        <v>36339</v>
      </c>
      <c r="D67" s="41">
        <v>2438</v>
      </c>
      <c r="E67" s="41">
        <v>414</v>
      </c>
      <c r="F67" s="41">
        <v>2769</v>
      </c>
      <c r="G67" s="41">
        <v>1490</v>
      </c>
      <c r="H67" s="41">
        <v>29228</v>
      </c>
      <c r="I67" s="41">
        <v>20500</v>
      </c>
      <c r="J67" s="136">
        <v>19892202.739999998</v>
      </c>
      <c r="K67" s="136">
        <v>3584312.64</v>
      </c>
      <c r="L67" s="136">
        <v>20022943.59</v>
      </c>
      <c r="M67" s="136">
        <v>18511178.900000002</v>
      </c>
      <c r="N67" s="136">
        <v>1866207.8</v>
      </c>
      <c r="O67" s="136">
        <v>1646150</v>
      </c>
      <c r="P67" s="178">
        <f>SUM(Ikärakenne[[#This Row],[Ikä 0–5]:[Ikä 18-64]])</f>
        <v>65522995.670000002</v>
      </c>
    </row>
    <row r="68" spans="1:16">
      <c r="A68" s="127">
        <v>204</v>
      </c>
      <c r="B68" s="124" t="s">
        <v>73</v>
      </c>
      <c r="C68" s="38">
        <f>SUM(Ikärakenne[[#This Row],[0–5-vuotiaat]:[16 vuotta täyttäneet]])</f>
        <v>2628</v>
      </c>
      <c r="D68" s="41">
        <v>87</v>
      </c>
      <c r="E68" s="41">
        <v>10</v>
      </c>
      <c r="F68" s="41">
        <v>129</v>
      </c>
      <c r="G68" s="41">
        <v>62</v>
      </c>
      <c r="H68" s="41">
        <v>2340</v>
      </c>
      <c r="I68" s="41">
        <v>1274</v>
      </c>
      <c r="J68" s="136">
        <v>709853.01</v>
      </c>
      <c r="K68" s="136">
        <v>86577.600000000006</v>
      </c>
      <c r="L68" s="136">
        <v>932813.19</v>
      </c>
      <c r="M68" s="136">
        <v>770263.82000000007</v>
      </c>
      <c r="N68" s="136">
        <v>149409</v>
      </c>
      <c r="O68" s="136">
        <v>102302.2</v>
      </c>
      <c r="P68" s="178">
        <f>SUM(Ikärakenne[[#This Row],[Ikä 0–5]:[Ikä 18-64]])</f>
        <v>2751218.8200000003</v>
      </c>
    </row>
    <row r="69" spans="1:16">
      <c r="A69" s="127">
        <v>205</v>
      </c>
      <c r="B69" s="124" t="s">
        <v>74</v>
      </c>
      <c r="C69" s="38">
        <f>SUM(Ikärakenne[[#This Row],[0–5-vuotiaat]:[16 vuotta täyttäneet]])</f>
        <v>36513</v>
      </c>
      <c r="D69" s="41">
        <v>1763</v>
      </c>
      <c r="E69" s="41">
        <v>327</v>
      </c>
      <c r="F69" s="41">
        <v>2454</v>
      </c>
      <c r="G69" s="41">
        <v>1345</v>
      </c>
      <c r="H69" s="41">
        <v>30624</v>
      </c>
      <c r="I69" s="41">
        <v>20713</v>
      </c>
      <c r="J69" s="136">
        <v>14384722.489999998</v>
      </c>
      <c r="K69" s="136">
        <v>2831087.52</v>
      </c>
      <c r="L69" s="136">
        <v>17745143.939999998</v>
      </c>
      <c r="M69" s="136">
        <v>16709755.450000001</v>
      </c>
      <c r="N69" s="136">
        <v>1955342.4000000001</v>
      </c>
      <c r="O69" s="136">
        <v>1663253.9</v>
      </c>
      <c r="P69" s="178">
        <f>SUM(Ikärakenne[[#This Row],[Ikä 0–5]:[Ikä 18-64]])</f>
        <v>55289305.699999996</v>
      </c>
    </row>
    <row r="70" spans="1:16">
      <c r="A70" s="127">
        <v>208</v>
      </c>
      <c r="B70" s="124" t="s">
        <v>75</v>
      </c>
      <c r="C70" s="38">
        <f>SUM(Ikärakenne[[#This Row],[0–5-vuotiaat]:[16 vuotta täyttäneet]])</f>
        <v>12372</v>
      </c>
      <c r="D70" s="41">
        <v>699</v>
      </c>
      <c r="E70" s="41">
        <v>137</v>
      </c>
      <c r="F70" s="41">
        <v>955</v>
      </c>
      <c r="G70" s="41">
        <v>504</v>
      </c>
      <c r="H70" s="41">
        <v>10077</v>
      </c>
      <c r="I70" s="41">
        <v>6326</v>
      </c>
      <c r="J70" s="136">
        <v>5703301.7699999996</v>
      </c>
      <c r="K70" s="136">
        <v>1186113.1200000001</v>
      </c>
      <c r="L70" s="136">
        <v>6905710.0499999998</v>
      </c>
      <c r="M70" s="136">
        <v>6261499.4400000004</v>
      </c>
      <c r="N70" s="136">
        <v>643416.45000000007</v>
      </c>
      <c r="O70" s="136">
        <v>507977.8</v>
      </c>
      <c r="P70" s="178">
        <f>SUM(Ikärakenne[[#This Row],[Ikä 0–5]:[Ikä 18-64]])</f>
        <v>21208018.629999999</v>
      </c>
    </row>
    <row r="71" spans="1:16">
      <c r="A71" s="127">
        <v>211</v>
      </c>
      <c r="B71" s="124" t="s">
        <v>76</v>
      </c>
      <c r="C71" s="38">
        <f>SUM(Ikärakenne[[#This Row],[0–5-vuotiaat]:[16 vuotta täyttäneet]])</f>
        <v>33473</v>
      </c>
      <c r="D71" s="41">
        <v>2042</v>
      </c>
      <c r="E71" s="41">
        <v>382</v>
      </c>
      <c r="F71" s="41">
        <v>2624</v>
      </c>
      <c r="G71" s="41">
        <v>1373</v>
      </c>
      <c r="H71" s="41">
        <v>27052</v>
      </c>
      <c r="I71" s="41">
        <v>19045</v>
      </c>
      <c r="J71" s="136">
        <v>16661147.659999998</v>
      </c>
      <c r="K71" s="136">
        <v>3307264.3200000003</v>
      </c>
      <c r="L71" s="136">
        <v>18974432.640000001</v>
      </c>
      <c r="M71" s="136">
        <v>17057616.530000001</v>
      </c>
      <c r="N71" s="136">
        <v>1727270.2</v>
      </c>
      <c r="O71" s="136">
        <v>1529313.5</v>
      </c>
      <c r="P71" s="178">
        <f>SUM(Ikärakenne[[#This Row],[Ikä 0–5]:[Ikä 18-64]])</f>
        <v>59257044.850000001</v>
      </c>
    </row>
    <row r="72" spans="1:16">
      <c r="A72" s="127">
        <v>213</v>
      </c>
      <c r="B72" s="124" t="s">
        <v>77</v>
      </c>
      <c r="C72" s="38">
        <f>SUM(Ikärakenne[[#This Row],[0–5-vuotiaat]:[16 vuotta täyttäneet]])</f>
        <v>5114</v>
      </c>
      <c r="D72" s="41">
        <v>167</v>
      </c>
      <c r="E72" s="41">
        <v>36</v>
      </c>
      <c r="F72" s="41">
        <v>260</v>
      </c>
      <c r="G72" s="41">
        <v>138</v>
      </c>
      <c r="H72" s="41">
        <v>4513</v>
      </c>
      <c r="I72" s="41">
        <v>2435</v>
      </c>
      <c r="J72" s="136">
        <v>1362591.41</v>
      </c>
      <c r="K72" s="136">
        <v>311679.35999999999</v>
      </c>
      <c r="L72" s="136">
        <v>1880088.5999999999</v>
      </c>
      <c r="M72" s="136">
        <v>1714458.1800000002</v>
      </c>
      <c r="N72" s="136">
        <v>288155.05</v>
      </c>
      <c r="O72" s="136">
        <v>195530.5</v>
      </c>
      <c r="P72" s="178">
        <f>SUM(Ikärakenne[[#This Row],[Ikä 0–5]:[Ikä 18-64]])</f>
        <v>5752503.1000000006</v>
      </c>
    </row>
    <row r="73" spans="1:16">
      <c r="A73" s="127">
        <v>214</v>
      </c>
      <c r="B73" s="124" t="s">
        <v>78</v>
      </c>
      <c r="C73" s="38">
        <f>SUM(Ikärakenne[[#This Row],[0–5-vuotiaat]:[16 vuotta täyttäneet]])</f>
        <v>12394</v>
      </c>
      <c r="D73" s="41">
        <v>548</v>
      </c>
      <c r="E73" s="41">
        <v>115</v>
      </c>
      <c r="F73" s="41">
        <v>783</v>
      </c>
      <c r="G73" s="41">
        <v>384</v>
      </c>
      <c r="H73" s="41">
        <v>10564</v>
      </c>
      <c r="I73" s="41">
        <v>6496</v>
      </c>
      <c r="J73" s="136">
        <v>4471258.04</v>
      </c>
      <c r="K73" s="136">
        <v>995642.4</v>
      </c>
      <c r="L73" s="136">
        <v>5661959.1299999999</v>
      </c>
      <c r="M73" s="136">
        <v>4770666.24</v>
      </c>
      <c r="N73" s="136">
        <v>674511.4</v>
      </c>
      <c r="O73" s="136">
        <v>521628.8</v>
      </c>
      <c r="P73" s="178">
        <f>SUM(Ikärakenne[[#This Row],[Ikä 0–5]:[Ikä 18-64]])</f>
        <v>17095666.010000002</v>
      </c>
    </row>
    <row r="74" spans="1:16">
      <c r="A74" s="127">
        <v>216</v>
      </c>
      <c r="B74" s="124" t="s">
        <v>79</v>
      </c>
      <c r="C74" s="38">
        <f>SUM(Ikärakenne[[#This Row],[0–5-vuotiaat]:[16 vuotta täyttäneet]])</f>
        <v>1217</v>
      </c>
      <c r="D74" s="41">
        <v>48</v>
      </c>
      <c r="E74" s="41">
        <v>5</v>
      </c>
      <c r="F74" s="41">
        <v>55</v>
      </c>
      <c r="G74" s="41">
        <v>42</v>
      </c>
      <c r="H74" s="41">
        <v>1067</v>
      </c>
      <c r="I74" s="41">
        <v>569</v>
      </c>
      <c r="J74" s="136">
        <v>391643.04</v>
      </c>
      <c r="K74" s="136">
        <v>43288.800000000003</v>
      </c>
      <c r="L74" s="136">
        <v>397711.05</v>
      </c>
      <c r="M74" s="136">
        <v>521791.62</v>
      </c>
      <c r="N74" s="136">
        <v>68127.95</v>
      </c>
      <c r="O74" s="136">
        <v>45690.7</v>
      </c>
      <c r="P74" s="178">
        <f>SUM(Ikärakenne[[#This Row],[Ikä 0–5]:[Ikä 18-64]])</f>
        <v>1468253.1599999997</v>
      </c>
    </row>
    <row r="75" spans="1:16">
      <c r="A75" s="127">
        <v>217</v>
      </c>
      <c r="B75" s="124" t="s">
        <v>80</v>
      </c>
      <c r="C75" s="38">
        <f>SUM(Ikärakenne[[#This Row],[0–5-vuotiaat]:[16 vuotta täyttäneet]])</f>
        <v>5246</v>
      </c>
      <c r="D75" s="41">
        <v>285</v>
      </c>
      <c r="E75" s="41">
        <v>64</v>
      </c>
      <c r="F75" s="41">
        <v>432</v>
      </c>
      <c r="G75" s="41">
        <v>209</v>
      </c>
      <c r="H75" s="41">
        <v>4256</v>
      </c>
      <c r="I75" s="41">
        <v>2719</v>
      </c>
      <c r="J75" s="136">
        <v>2325380.5499999998</v>
      </c>
      <c r="K75" s="136">
        <v>554096.64000000001</v>
      </c>
      <c r="L75" s="136">
        <v>3123839.52</v>
      </c>
      <c r="M75" s="136">
        <v>2596534.4900000002</v>
      </c>
      <c r="N75" s="136">
        <v>271745.60000000003</v>
      </c>
      <c r="O75" s="136">
        <v>218335.69999999998</v>
      </c>
      <c r="P75" s="178">
        <f>SUM(Ikärakenne[[#This Row],[Ikä 0–5]:[Ikä 18-64]])</f>
        <v>9089932.4999999981</v>
      </c>
    </row>
    <row r="76" spans="1:16">
      <c r="A76" s="127">
        <v>218</v>
      </c>
      <c r="B76" s="124" t="s">
        <v>81</v>
      </c>
      <c r="C76" s="38">
        <f>SUM(Ikärakenne[[#This Row],[0–5-vuotiaat]:[16 vuotta täyttäneet]])</f>
        <v>1188</v>
      </c>
      <c r="D76" s="41">
        <v>37</v>
      </c>
      <c r="E76" s="41">
        <v>13</v>
      </c>
      <c r="F76" s="41">
        <v>67</v>
      </c>
      <c r="G76" s="41">
        <v>28</v>
      </c>
      <c r="H76" s="41">
        <v>1043</v>
      </c>
      <c r="I76" s="41">
        <v>571</v>
      </c>
      <c r="J76" s="136">
        <v>301891.51</v>
      </c>
      <c r="K76" s="136">
        <v>112550.88</v>
      </c>
      <c r="L76" s="136">
        <v>484484.37</v>
      </c>
      <c r="M76" s="136">
        <v>347861.08</v>
      </c>
      <c r="N76" s="136">
        <v>66595.55</v>
      </c>
      <c r="O76" s="136">
        <v>45851.299999999996</v>
      </c>
      <c r="P76" s="178">
        <f>SUM(Ikärakenne[[#This Row],[Ikä 0–5]:[Ikä 18-64]])</f>
        <v>1359234.6900000002</v>
      </c>
    </row>
    <row r="77" spans="1:16">
      <c r="A77" s="127">
        <v>224</v>
      </c>
      <c r="B77" s="124" t="s">
        <v>82</v>
      </c>
      <c r="C77" s="38">
        <f>SUM(Ikärakenne[[#This Row],[0–5-vuotiaat]:[16 vuotta täyttäneet]])</f>
        <v>8581</v>
      </c>
      <c r="D77" s="41">
        <v>318</v>
      </c>
      <c r="E77" s="41">
        <v>82</v>
      </c>
      <c r="F77" s="41">
        <v>557</v>
      </c>
      <c r="G77" s="41">
        <v>338</v>
      </c>
      <c r="H77" s="41">
        <v>7286</v>
      </c>
      <c r="I77" s="41">
        <v>4632</v>
      </c>
      <c r="J77" s="136">
        <v>2594635.1399999997</v>
      </c>
      <c r="K77" s="136">
        <v>709936.32000000007</v>
      </c>
      <c r="L77" s="136">
        <v>4027728.27</v>
      </c>
      <c r="M77" s="136">
        <v>4199180.1800000006</v>
      </c>
      <c r="N77" s="136">
        <v>465211.10000000003</v>
      </c>
      <c r="O77" s="136">
        <v>371949.6</v>
      </c>
      <c r="P77" s="178">
        <f>SUM(Ikärakenne[[#This Row],[Ikä 0–5]:[Ikä 18-64]])</f>
        <v>12368640.609999999</v>
      </c>
    </row>
    <row r="78" spans="1:16">
      <c r="A78" s="127">
        <v>226</v>
      </c>
      <c r="B78" s="124" t="s">
        <v>83</v>
      </c>
      <c r="C78" s="38">
        <f>SUM(Ikärakenne[[#This Row],[0–5-vuotiaat]:[16 vuotta täyttäneet]])</f>
        <v>3625</v>
      </c>
      <c r="D78" s="41">
        <v>115</v>
      </c>
      <c r="E78" s="41">
        <v>18</v>
      </c>
      <c r="F78" s="41">
        <v>193</v>
      </c>
      <c r="G78" s="41">
        <v>110</v>
      </c>
      <c r="H78" s="41">
        <v>3189</v>
      </c>
      <c r="I78" s="41">
        <v>1718</v>
      </c>
      <c r="J78" s="136">
        <v>938311.45</v>
      </c>
      <c r="K78" s="136">
        <v>155839.67999999999</v>
      </c>
      <c r="L78" s="136">
        <v>1395604.23</v>
      </c>
      <c r="M78" s="136">
        <v>1366597.1</v>
      </c>
      <c r="N78" s="136">
        <v>203617.65</v>
      </c>
      <c r="O78" s="136">
        <v>137955.4</v>
      </c>
      <c r="P78" s="178">
        <f>SUM(Ikärakenne[[#This Row],[Ikä 0–5]:[Ikä 18-64]])</f>
        <v>4197925.51</v>
      </c>
    </row>
    <row r="79" spans="1:16">
      <c r="A79" s="127">
        <v>230</v>
      </c>
      <c r="B79" s="124" t="s">
        <v>84</v>
      </c>
      <c r="C79" s="38">
        <f>SUM(Ikärakenne[[#This Row],[0–5-vuotiaat]:[16 vuotta täyttäneet]])</f>
        <v>2216</v>
      </c>
      <c r="D79" s="41">
        <v>88</v>
      </c>
      <c r="E79" s="41">
        <v>21</v>
      </c>
      <c r="F79" s="41">
        <v>128</v>
      </c>
      <c r="G79" s="41">
        <v>58</v>
      </c>
      <c r="H79" s="41">
        <v>1921</v>
      </c>
      <c r="I79" s="41">
        <v>1096</v>
      </c>
      <c r="J79" s="136">
        <v>718012.24</v>
      </c>
      <c r="K79" s="136">
        <v>181812.96</v>
      </c>
      <c r="L79" s="136">
        <v>925582.08</v>
      </c>
      <c r="M79" s="136">
        <v>720569.38</v>
      </c>
      <c r="N79" s="136">
        <v>122655.85</v>
      </c>
      <c r="O79" s="136">
        <v>88008.8</v>
      </c>
      <c r="P79" s="178">
        <f>SUM(Ikärakenne[[#This Row],[Ikä 0–5]:[Ikä 18-64]])</f>
        <v>2756641.3099999996</v>
      </c>
    </row>
    <row r="80" spans="1:16">
      <c r="A80" s="127">
        <v>231</v>
      </c>
      <c r="B80" s="124" t="s">
        <v>85</v>
      </c>
      <c r="C80" s="38">
        <f>SUM(Ikärakenne[[#This Row],[0–5-vuotiaat]:[16 vuotta täyttäneet]])</f>
        <v>1208</v>
      </c>
      <c r="D80" s="41">
        <v>39</v>
      </c>
      <c r="E80" s="41">
        <v>14</v>
      </c>
      <c r="F80" s="41">
        <v>74</v>
      </c>
      <c r="G80" s="41">
        <v>29</v>
      </c>
      <c r="H80" s="41">
        <v>1052</v>
      </c>
      <c r="I80" s="41">
        <v>520</v>
      </c>
      <c r="J80" s="136">
        <v>318209.96999999997</v>
      </c>
      <c r="K80" s="136">
        <v>121208.64</v>
      </c>
      <c r="L80" s="136">
        <v>535102.14</v>
      </c>
      <c r="M80" s="136">
        <v>360284.69</v>
      </c>
      <c r="N80" s="136">
        <v>67170.2</v>
      </c>
      <c r="O80" s="136">
        <v>41756</v>
      </c>
      <c r="P80" s="178">
        <f>SUM(Ikärakenne[[#This Row],[Ikä 0–5]:[Ikä 18-64]])</f>
        <v>1443731.64</v>
      </c>
    </row>
    <row r="81" spans="1:16">
      <c r="A81" s="127">
        <v>232</v>
      </c>
      <c r="B81" s="124" t="s">
        <v>86</v>
      </c>
      <c r="C81" s="38">
        <f>SUM(Ikärakenne[[#This Row],[0–5-vuotiaat]:[16 vuotta täyttäneet]])</f>
        <v>12618</v>
      </c>
      <c r="D81" s="41">
        <v>534</v>
      </c>
      <c r="E81" s="41">
        <v>128</v>
      </c>
      <c r="F81" s="41">
        <v>825</v>
      </c>
      <c r="G81" s="41">
        <v>483</v>
      </c>
      <c r="H81" s="41">
        <v>10648</v>
      </c>
      <c r="I81" s="41">
        <v>6580</v>
      </c>
      <c r="J81" s="136">
        <v>4357028.8199999994</v>
      </c>
      <c r="K81" s="136">
        <v>1108193.28</v>
      </c>
      <c r="L81" s="136">
        <v>5965665.75</v>
      </c>
      <c r="M81" s="136">
        <v>6000603.6299999999</v>
      </c>
      <c r="N81" s="136">
        <v>679874.8</v>
      </c>
      <c r="O81" s="136">
        <v>528374</v>
      </c>
      <c r="P81" s="178">
        <f>SUM(Ikärakenne[[#This Row],[Ikä 0–5]:[Ikä 18-64]])</f>
        <v>18639740.280000001</v>
      </c>
    </row>
    <row r="82" spans="1:16">
      <c r="A82" s="127">
        <v>233</v>
      </c>
      <c r="B82" s="124" t="s">
        <v>87</v>
      </c>
      <c r="C82" s="38">
        <f>SUM(Ikärakenne[[#This Row],[0–5-vuotiaat]:[16 vuotta täyttäneet]])</f>
        <v>15165</v>
      </c>
      <c r="D82" s="41">
        <v>653</v>
      </c>
      <c r="E82" s="41">
        <v>134</v>
      </c>
      <c r="F82" s="41">
        <v>983</v>
      </c>
      <c r="G82" s="41">
        <v>572</v>
      </c>
      <c r="H82" s="41">
        <v>12823</v>
      </c>
      <c r="I82" s="41">
        <v>7756</v>
      </c>
      <c r="J82" s="136">
        <v>5327977.1899999995</v>
      </c>
      <c r="K82" s="136">
        <v>1160139.8400000001</v>
      </c>
      <c r="L82" s="136">
        <v>7108181.1299999999</v>
      </c>
      <c r="M82" s="136">
        <v>7106304.9199999999</v>
      </c>
      <c r="N82" s="136">
        <v>818748.55</v>
      </c>
      <c r="O82" s="136">
        <v>622806.79999999993</v>
      </c>
      <c r="P82" s="178">
        <f>SUM(Ikärakenne[[#This Row],[Ikä 0–5]:[Ikä 18-64]])</f>
        <v>22144158.43</v>
      </c>
    </row>
    <row r="83" spans="1:16">
      <c r="A83" s="127">
        <v>235</v>
      </c>
      <c r="B83" s="124" t="s">
        <v>88</v>
      </c>
      <c r="C83" s="38">
        <f>SUM(Ikärakenne[[#This Row],[0–5-vuotiaat]:[16 vuotta täyttäneet]])</f>
        <v>10270</v>
      </c>
      <c r="D83" s="41">
        <v>570</v>
      </c>
      <c r="E83" s="41">
        <v>104</v>
      </c>
      <c r="F83" s="41">
        <v>806</v>
      </c>
      <c r="G83" s="41">
        <v>461</v>
      </c>
      <c r="H83" s="41">
        <v>8329</v>
      </c>
      <c r="I83" s="41">
        <v>5608</v>
      </c>
      <c r="J83" s="136">
        <v>4650761.0999999996</v>
      </c>
      <c r="K83" s="136">
        <v>900407.04</v>
      </c>
      <c r="L83" s="136">
        <v>5828274.6600000001</v>
      </c>
      <c r="M83" s="136">
        <v>5727284.21</v>
      </c>
      <c r="N83" s="136">
        <v>531806.65</v>
      </c>
      <c r="O83" s="136">
        <v>450322.39999999997</v>
      </c>
      <c r="P83" s="178">
        <f>SUM(Ikärakenne[[#This Row],[Ikä 0–5]:[Ikä 18-64]])</f>
        <v>18088856.059999999</v>
      </c>
    </row>
    <row r="84" spans="1:16">
      <c r="A84" s="127">
        <v>236</v>
      </c>
      <c r="B84" s="124" t="s">
        <v>89</v>
      </c>
      <c r="C84" s="38">
        <f>SUM(Ikärakenne[[#This Row],[0–5-vuotiaat]:[16 vuotta täyttäneet]])</f>
        <v>4137</v>
      </c>
      <c r="D84" s="41">
        <v>212</v>
      </c>
      <c r="E84" s="41">
        <v>44</v>
      </c>
      <c r="F84" s="41">
        <v>353</v>
      </c>
      <c r="G84" s="41">
        <v>162</v>
      </c>
      <c r="H84" s="41">
        <v>3366</v>
      </c>
      <c r="I84" s="41">
        <v>2175</v>
      </c>
      <c r="J84" s="136">
        <v>1729756.76</v>
      </c>
      <c r="K84" s="136">
        <v>380941.44</v>
      </c>
      <c r="L84" s="136">
        <v>2552581.83</v>
      </c>
      <c r="M84" s="136">
        <v>2012624.82</v>
      </c>
      <c r="N84" s="136">
        <v>214919.1</v>
      </c>
      <c r="O84" s="136">
        <v>174652.5</v>
      </c>
      <c r="P84" s="178">
        <f>SUM(Ikärakenne[[#This Row],[Ikä 0–5]:[Ikä 18-64]])</f>
        <v>7065476.4500000002</v>
      </c>
    </row>
    <row r="85" spans="1:16">
      <c r="A85" s="127">
        <v>239</v>
      </c>
      <c r="B85" s="124" t="s">
        <v>90</v>
      </c>
      <c r="C85" s="38">
        <f>SUM(Ikärakenne[[#This Row],[0–5-vuotiaat]:[16 vuotta täyttäneet]])</f>
        <v>2035</v>
      </c>
      <c r="D85" s="41">
        <v>72</v>
      </c>
      <c r="E85" s="41">
        <v>20</v>
      </c>
      <c r="F85" s="41">
        <v>91</v>
      </c>
      <c r="G85" s="41">
        <v>53</v>
      </c>
      <c r="H85" s="41">
        <v>1799</v>
      </c>
      <c r="I85" s="41">
        <v>916</v>
      </c>
      <c r="J85" s="136">
        <v>587464.55999999994</v>
      </c>
      <c r="K85" s="136">
        <v>173155.20000000001</v>
      </c>
      <c r="L85" s="136">
        <v>658031.01</v>
      </c>
      <c r="M85" s="136">
        <v>658451.33000000007</v>
      </c>
      <c r="N85" s="136">
        <v>114866.15000000001</v>
      </c>
      <c r="O85" s="136">
        <v>73554.8</v>
      </c>
      <c r="P85" s="178">
        <f>SUM(Ikärakenne[[#This Row],[Ikä 0–5]:[Ikä 18-64]])</f>
        <v>2265523.0499999998</v>
      </c>
    </row>
    <row r="86" spans="1:16">
      <c r="A86" s="127">
        <v>240</v>
      </c>
      <c r="B86" s="124" t="s">
        <v>91</v>
      </c>
      <c r="C86" s="38">
        <f>SUM(Ikärakenne[[#This Row],[0–5-vuotiaat]:[16 vuotta täyttäneet]])</f>
        <v>19371</v>
      </c>
      <c r="D86" s="41">
        <v>797</v>
      </c>
      <c r="E86" s="41">
        <v>170</v>
      </c>
      <c r="F86" s="41">
        <v>1176</v>
      </c>
      <c r="G86" s="41">
        <v>679</v>
      </c>
      <c r="H86" s="41">
        <v>16549</v>
      </c>
      <c r="I86" s="41">
        <v>10154</v>
      </c>
      <c r="J86" s="136">
        <v>6502906.3099999996</v>
      </c>
      <c r="K86" s="136">
        <v>1471819.2</v>
      </c>
      <c r="L86" s="136">
        <v>8503785.3599999994</v>
      </c>
      <c r="M86" s="136">
        <v>8435631.1899999995</v>
      </c>
      <c r="N86" s="136">
        <v>1056653.6500000001</v>
      </c>
      <c r="O86" s="136">
        <v>815366.2</v>
      </c>
      <c r="P86" s="178">
        <f>SUM(Ikärakenne[[#This Row],[Ikä 0–5]:[Ikä 18-64]])</f>
        <v>26786161.909999996</v>
      </c>
    </row>
    <row r="87" spans="1:16">
      <c r="A87" s="127">
        <v>241</v>
      </c>
      <c r="B87" s="124" t="s">
        <v>92</v>
      </c>
      <c r="C87" s="38">
        <f>SUM(Ikärakenne[[#This Row],[0–5-vuotiaat]:[16 vuotta täyttäneet]])</f>
        <v>7691</v>
      </c>
      <c r="D87" s="41">
        <v>385</v>
      </c>
      <c r="E87" s="41">
        <v>75</v>
      </c>
      <c r="F87" s="41">
        <v>565</v>
      </c>
      <c r="G87" s="41">
        <v>287</v>
      </c>
      <c r="H87" s="41">
        <v>6379</v>
      </c>
      <c r="I87" s="41">
        <v>4056</v>
      </c>
      <c r="J87" s="136">
        <v>3141303.55</v>
      </c>
      <c r="K87" s="136">
        <v>649332</v>
      </c>
      <c r="L87" s="136">
        <v>4085577.15</v>
      </c>
      <c r="M87" s="136">
        <v>3565576.0700000003</v>
      </c>
      <c r="N87" s="136">
        <v>407299.15</v>
      </c>
      <c r="O87" s="136">
        <v>325696.8</v>
      </c>
      <c r="P87" s="178">
        <f>SUM(Ikärakenne[[#This Row],[Ikä 0–5]:[Ikä 18-64]])</f>
        <v>12174784.720000001</v>
      </c>
    </row>
    <row r="88" spans="1:16">
      <c r="A88" s="127">
        <v>244</v>
      </c>
      <c r="B88" s="124" t="s">
        <v>93</v>
      </c>
      <c r="C88" s="38">
        <f>SUM(Ikärakenne[[#This Row],[0–5-vuotiaat]:[16 vuotta täyttäneet]])</f>
        <v>19514</v>
      </c>
      <c r="D88" s="41">
        <v>1512</v>
      </c>
      <c r="E88" s="41">
        <v>307</v>
      </c>
      <c r="F88" s="41">
        <v>1899</v>
      </c>
      <c r="G88" s="41">
        <v>1033</v>
      </c>
      <c r="H88" s="41">
        <v>14763</v>
      </c>
      <c r="I88" s="41">
        <v>10860</v>
      </c>
      <c r="J88" s="136">
        <v>12336755.76</v>
      </c>
      <c r="K88" s="136">
        <v>2657932.3200000003</v>
      </c>
      <c r="L88" s="136">
        <v>13731877.889999999</v>
      </c>
      <c r="M88" s="136">
        <v>12833589.130000001</v>
      </c>
      <c r="N88" s="136">
        <v>942617.55</v>
      </c>
      <c r="O88" s="136">
        <v>872058</v>
      </c>
      <c r="P88" s="178">
        <f>SUM(Ikärakenne[[#This Row],[Ikä 0–5]:[Ikä 18-64]])</f>
        <v>43374830.649999999</v>
      </c>
    </row>
    <row r="89" spans="1:16">
      <c r="A89" s="127">
        <v>245</v>
      </c>
      <c r="B89" s="124" t="s">
        <v>94</v>
      </c>
      <c r="C89" s="38">
        <f>SUM(Ikärakenne[[#This Row],[0–5-vuotiaat]:[16 vuotta täyttäneet]])</f>
        <v>38211</v>
      </c>
      <c r="D89" s="41">
        <v>2134</v>
      </c>
      <c r="E89" s="41">
        <v>410</v>
      </c>
      <c r="F89" s="41">
        <v>2525</v>
      </c>
      <c r="G89" s="41">
        <v>1363</v>
      </c>
      <c r="H89" s="41">
        <v>31779</v>
      </c>
      <c r="I89" s="41">
        <v>22972</v>
      </c>
      <c r="J89" s="136">
        <v>17411796.82</v>
      </c>
      <c r="K89" s="136">
        <v>3549681.6</v>
      </c>
      <c r="L89" s="136">
        <v>18258552.75</v>
      </c>
      <c r="M89" s="136">
        <v>16933380.43</v>
      </c>
      <c r="N89" s="136">
        <v>2029089.1500000001</v>
      </c>
      <c r="O89" s="136">
        <v>1844651.5999999999</v>
      </c>
      <c r="P89" s="178">
        <f>SUM(Ikärakenne[[#This Row],[Ikä 0–5]:[Ikä 18-64]])</f>
        <v>60027152.350000001</v>
      </c>
    </row>
    <row r="90" spans="1:16">
      <c r="A90" s="127">
        <v>249</v>
      </c>
      <c r="B90" s="124" t="s">
        <v>95</v>
      </c>
      <c r="C90" s="38">
        <f>SUM(Ikärakenne[[#This Row],[0–5-vuotiaat]:[16 vuotta täyttäneet]])</f>
        <v>9184</v>
      </c>
      <c r="D90" s="41">
        <v>325</v>
      </c>
      <c r="E90" s="41">
        <v>63</v>
      </c>
      <c r="F90" s="41">
        <v>560</v>
      </c>
      <c r="G90" s="41">
        <v>300</v>
      </c>
      <c r="H90" s="41">
        <v>7936</v>
      </c>
      <c r="I90" s="41">
        <v>4412</v>
      </c>
      <c r="J90" s="136">
        <v>2651749.75</v>
      </c>
      <c r="K90" s="136">
        <v>545438.88</v>
      </c>
      <c r="L90" s="136">
        <v>4049421.5999999996</v>
      </c>
      <c r="M90" s="136">
        <v>3727083</v>
      </c>
      <c r="N90" s="136">
        <v>506713.60000000003</v>
      </c>
      <c r="O90" s="136">
        <v>354283.6</v>
      </c>
      <c r="P90" s="178">
        <f>SUM(Ikärakenne[[#This Row],[Ikä 0–5]:[Ikä 18-64]])</f>
        <v>11834690.43</v>
      </c>
    </row>
    <row r="91" spans="1:16">
      <c r="A91" s="127">
        <v>250</v>
      </c>
      <c r="B91" s="124" t="s">
        <v>96</v>
      </c>
      <c r="C91" s="38">
        <f>SUM(Ikärakenne[[#This Row],[0–5-vuotiaat]:[16 vuotta täyttäneet]])</f>
        <v>1749</v>
      </c>
      <c r="D91" s="41">
        <v>58</v>
      </c>
      <c r="E91" s="41">
        <v>9</v>
      </c>
      <c r="F91" s="41">
        <v>106</v>
      </c>
      <c r="G91" s="41">
        <v>49</v>
      </c>
      <c r="H91" s="41">
        <v>1527</v>
      </c>
      <c r="I91" s="41">
        <v>844</v>
      </c>
      <c r="J91" s="136">
        <v>473235.33999999997</v>
      </c>
      <c r="K91" s="136">
        <v>77919.839999999997</v>
      </c>
      <c r="L91" s="136">
        <v>766497.65999999992</v>
      </c>
      <c r="M91" s="136">
        <v>608756.89</v>
      </c>
      <c r="N91" s="136">
        <v>97498.95</v>
      </c>
      <c r="O91" s="136">
        <v>67773.2</v>
      </c>
      <c r="P91" s="178">
        <f>SUM(Ikärakenne[[#This Row],[Ikä 0–5]:[Ikä 18-64]])</f>
        <v>2091681.88</v>
      </c>
    </row>
    <row r="92" spans="1:16">
      <c r="A92" s="127">
        <v>256</v>
      </c>
      <c r="B92" s="124" t="s">
        <v>97</v>
      </c>
      <c r="C92" s="38">
        <f>SUM(Ikärakenne[[#This Row],[0–5-vuotiaat]:[16 vuotta täyttäneet]])</f>
        <v>1523</v>
      </c>
      <c r="D92" s="41">
        <v>93</v>
      </c>
      <c r="E92" s="41">
        <v>21</v>
      </c>
      <c r="F92" s="41">
        <v>116</v>
      </c>
      <c r="G92" s="41">
        <v>56</v>
      </c>
      <c r="H92" s="41">
        <v>1237</v>
      </c>
      <c r="I92" s="41">
        <v>665</v>
      </c>
      <c r="J92" s="136">
        <v>758808.39</v>
      </c>
      <c r="K92" s="136">
        <v>181812.96</v>
      </c>
      <c r="L92" s="136">
        <v>838808.76</v>
      </c>
      <c r="M92" s="136">
        <v>695722.16</v>
      </c>
      <c r="N92" s="136">
        <v>78982.45</v>
      </c>
      <c r="O92" s="136">
        <v>53399.5</v>
      </c>
      <c r="P92" s="178">
        <f>SUM(Ikärakenne[[#This Row],[Ikä 0–5]:[Ikä 18-64]])</f>
        <v>2607534.2200000002</v>
      </c>
    </row>
    <row r="93" spans="1:16">
      <c r="A93" s="127">
        <v>257</v>
      </c>
      <c r="B93" s="124" t="s">
        <v>98</v>
      </c>
      <c r="C93" s="38">
        <f>SUM(Ikärakenne[[#This Row],[0–5-vuotiaat]:[16 vuotta täyttäneet]])</f>
        <v>41154</v>
      </c>
      <c r="D93" s="41">
        <v>2406</v>
      </c>
      <c r="E93" s="41">
        <v>449</v>
      </c>
      <c r="F93" s="41">
        <v>3153</v>
      </c>
      <c r="G93" s="41">
        <v>1781</v>
      </c>
      <c r="H93" s="41">
        <v>33365</v>
      </c>
      <c r="I93" s="41">
        <v>24763</v>
      </c>
      <c r="J93" s="136">
        <v>19631107.379999999</v>
      </c>
      <c r="K93" s="136">
        <v>3887334.24</v>
      </c>
      <c r="L93" s="136">
        <v>22799689.829999998</v>
      </c>
      <c r="M93" s="136">
        <v>22126449.41</v>
      </c>
      <c r="N93" s="136">
        <v>2130355.25</v>
      </c>
      <c r="O93" s="136">
        <v>1988468.9</v>
      </c>
      <c r="P93" s="178">
        <f>SUM(Ikärakenne[[#This Row],[Ikä 0–5]:[Ikä 18-64]])</f>
        <v>72563405.010000005</v>
      </c>
    </row>
    <row r="94" spans="1:16">
      <c r="A94" s="127">
        <v>260</v>
      </c>
      <c r="B94" s="124" t="s">
        <v>99</v>
      </c>
      <c r="C94" s="38">
        <f>SUM(Ikärakenne[[#This Row],[0–5-vuotiaat]:[16 vuotta täyttäneet]])</f>
        <v>9689</v>
      </c>
      <c r="D94" s="41">
        <v>270</v>
      </c>
      <c r="E94" s="41">
        <v>68</v>
      </c>
      <c r="F94" s="41">
        <v>510</v>
      </c>
      <c r="G94" s="41">
        <v>259</v>
      </c>
      <c r="H94" s="41">
        <v>8582</v>
      </c>
      <c r="I94" s="41">
        <v>4509</v>
      </c>
      <c r="J94" s="136">
        <v>2202992.1</v>
      </c>
      <c r="K94" s="136">
        <v>588727.68000000005</v>
      </c>
      <c r="L94" s="136">
        <v>3687866.0999999996</v>
      </c>
      <c r="M94" s="136">
        <v>3217714.99</v>
      </c>
      <c r="N94" s="136">
        <v>547960.70000000007</v>
      </c>
      <c r="O94" s="136">
        <v>362072.7</v>
      </c>
      <c r="P94" s="178">
        <f>SUM(Ikärakenne[[#This Row],[Ikä 0–5]:[Ikä 18-64]])</f>
        <v>10607334.27</v>
      </c>
    </row>
    <row r="95" spans="1:16">
      <c r="A95" s="127">
        <v>261</v>
      </c>
      <c r="B95" s="124" t="s">
        <v>100</v>
      </c>
      <c r="C95" s="38">
        <f>SUM(Ikärakenne[[#This Row],[0–5-vuotiaat]:[16 vuotta täyttäneet]])</f>
        <v>6822</v>
      </c>
      <c r="D95" s="41">
        <v>343</v>
      </c>
      <c r="E95" s="41">
        <v>68</v>
      </c>
      <c r="F95" s="41">
        <v>442</v>
      </c>
      <c r="G95" s="41">
        <v>223</v>
      </c>
      <c r="H95" s="41">
        <v>5746</v>
      </c>
      <c r="I95" s="41">
        <v>4137</v>
      </c>
      <c r="J95" s="136">
        <v>2798615.8899999997</v>
      </c>
      <c r="K95" s="136">
        <v>588727.68000000005</v>
      </c>
      <c r="L95" s="136">
        <v>3196150.6199999996</v>
      </c>
      <c r="M95" s="136">
        <v>2770465.0300000003</v>
      </c>
      <c r="N95" s="136">
        <v>366882.10000000003</v>
      </c>
      <c r="O95" s="136">
        <v>332201.09999999998</v>
      </c>
      <c r="P95" s="178">
        <f>SUM(Ikärakenne[[#This Row],[Ikä 0–5]:[Ikä 18-64]])</f>
        <v>10053042.419999998</v>
      </c>
    </row>
    <row r="96" spans="1:16">
      <c r="A96" s="127">
        <v>263</v>
      </c>
      <c r="B96" s="124" t="s">
        <v>101</v>
      </c>
      <c r="C96" s="38">
        <f>SUM(Ikärakenne[[#This Row],[0–5-vuotiaat]:[16 vuotta täyttäneet]])</f>
        <v>7475</v>
      </c>
      <c r="D96" s="41">
        <v>369</v>
      </c>
      <c r="E96" s="41">
        <v>70</v>
      </c>
      <c r="F96" s="41">
        <v>455</v>
      </c>
      <c r="G96" s="41">
        <v>232</v>
      </c>
      <c r="H96" s="41">
        <v>6349</v>
      </c>
      <c r="I96" s="41">
        <v>3690</v>
      </c>
      <c r="J96" s="136">
        <v>3010755.8699999996</v>
      </c>
      <c r="K96" s="136">
        <v>606043.20000000007</v>
      </c>
      <c r="L96" s="136">
        <v>3290155.05</v>
      </c>
      <c r="M96" s="136">
        <v>2882277.52</v>
      </c>
      <c r="N96" s="136">
        <v>405383.65</v>
      </c>
      <c r="O96" s="136">
        <v>296307</v>
      </c>
      <c r="P96" s="178">
        <f>SUM(Ikärakenne[[#This Row],[Ikä 0–5]:[Ikä 18-64]])</f>
        <v>10490922.289999999</v>
      </c>
    </row>
    <row r="97" spans="1:16">
      <c r="A97" s="127">
        <v>265</v>
      </c>
      <c r="B97" s="124" t="s">
        <v>102</v>
      </c>
      <c r="C97" s="38">
        <f>SUM(Ikärakenne[[#This Row],[0–5-vuotiaat]:[16 vuotta täyttäneet]])</f>
        <v>1035</v>
      </c>
      <c r="D97" s="41">
        <v>53</v>
      </c>
      <c r="E97" s="41">
        <v>8</v>
      </c>
      <c r="F97" s="41">
        <v>53</v>
      </c>
      <c r="G97" s="41">
        <v>30</v>
      </c>
      <c r="H97" s="41">
        <v>891</v>
      </c>
      <c r="I97" s="41">
        <v>461</v>
      </c>
      <c r="J97" s="136">
        <v>432439.19</v>
      </c>
      <c r="K97" s="136">
        <v>69262.080000000002</v>
      </c>
      <c r="L97" s="136">
        <v>383248.82999999996</v>
      </c>
      <c r="M97" s="136">
        <v>372708.30000000005</v>
      </c>
      <c r="N97" s="136">
        <v>56890.35</v>
      </c>
      <c r="O97" s="136">
        <v>37018.299999999996</v>
      </c>
      <c r="P97" s="178">
        <f>SUM(Ikärakenne[[#This Row],[Ikä 0–5]:[Ikä 18-64]])</f>
        <v>1351567.05</v>
      </c>
    </row>
    <row r="98" spans="1:16">
      <c r="A98" s="127">
        <v>271</v>
      </c>
      <c r="B98" s="124" t="s">
        <v>103</v>
      </c>
      <c r="C98" s="38">
        <f>SUM(Ikärakenne[[#This Row],[0–5-vuotiaat]:[16 vuotta täyttäneet]])</f>
        <v>6766</v>
      </c>
      <c r="D98" s="41">
        <v>262</v>
      </c>
      <c r="E98" s="41">
        <v>66</v>
      </c>
      <c r="F98" s="41">
        <v>354</v>
      </c>
      <c r="G98" s="41">
        <v>212</v>
      </c>
      <c r="H98" s="41">
        <v>5872</v>
      </c>
      <c r="I98" s="41">
        <v>3496</v>
      </c>
      <c r="J98" s="136">
        <v>2137718.2599999998</v>
      </c>
      <c r="K98" s="136">
        <v>571412.16</v>
      </c>
      <c r="L98" s="136">
        <v>2559812.94</v>
      </c>
      <c r="M98" s="136">
        <v>2633805.3200000003</v>
      </c>
      <c r="N98" s="136">
        <v>374927.2</v>
      </c>
      <c r="O98" s="136">
        <v>280728.8</v>
      </c>
      <c r="P98" s="178">
        <f>SUM(Ikärakenne[[#This Row],[Ikä 0–5]:[Ikä 18-64]])</f>
        <v>8558404.6799999997</v>
      </c>
    </row>
    <row r="99" spans="1:16">
      <c r="A99" s="127">
        <v>272</v>
      </c>
      <c r="B99" s="124" t="s">
        <v>104</v>
      </c>
      <c r="C99" s="38">
        <f>SUM(Ikärakenne[[#This Row],[0–5-vuotiaat]:[16 vuotta täyttäneet]])</f>
        <v>48295</v>
      </c>
      <c r="D99" s="41">
        <v>2985</v>
      </c>
      <c r="E99" s="41">
        <v>560</v>
      </c>
      <c r="F99" s="41">
        <v>3829</v>
      </c>
      <c r="G99" s="41">
        <v>1924</v>
      </c>
      <c r="H99" s="41">
        <v>38997</v>
      </c>
      <c r="I99" s="41">
        <v>26560</v>
      </c>
      <c r="J99" s="136">
        <v>24355301.549999997</v>
      </c>
      <c r="K99" s="136">
        <v>4848345.6000000006</v>
      </c>
      <c r="L99" s="136">
        <v>27687920.189999998</v>
      </c>
      <c r="M99" s="136">
        <v>23903025.640000001</v>
      </c>
      <c r="N99" s="136">
        <v>2489958.4500000002</v>
      </c>
      <c r="O99" s="136">
        <v>2132768</v>
      </c>
      <c r="P99" s="178">
        <f>SUM(Ikärakenne[[#This Row],[Ikä 0–5]:[Ikä 18-64]])</f>
        <v>85417319.429999992</v>
      </c>
    </row>
    <row r="100" spans="1:16">
      <c r="A100" s="127">
        <v>273</v>
      </c>
      <c r="B100" s="124" t="s">
        <v>105</v>
      </c>
      <c r="C100" s="38">
        <f>SUM(Ikärakenne[[#This Row],[0–5-vuotiaat]:[16 vuotta täyttäneet]])</f>
        <v>4011</v>
      </c>
      <c r="D100" s="41">
        <v>186</v>
      </c>
      <c r="E100" s="41">
        <v>44</v>
      </c>
      <c r="F100" s="41">
        <v>287</v>
      </c>
      <c r="G100" s="41">
        <v>135</v>
      </c>
      <c r="H100" s="41">
        <v>3359</v>
      </c>
      <c r="I100" s="41">
        <v>2167</v>
      </c>
      <c r="J100" s="136">
        <v>1517616.78</v>
      </c>
      <c r="K100" s="136">
        <v>380941.44</v>
      </c>
      <c r="L100" s="136">
        <v>2075328.5699999998</v>
      </c>
      <c r="M100" s="136">
        <v>1677187.35</v>
      </c>
      <c r="N100" s="136">
        <v>214472.15</v>
      </c>
      <c r="O100" s="136">
        <v>174010.1</v>
      </c>
      <c r="P100" s="178">
        <f>SUM(Ikärakenne[[#This Row],[Ikä 0–5]:[Ikä 18-64]])</f>
        <v>6039556.3900000006</v>
      </c>
    </row>
    <row r="101" spans="1:16">
      <c r="A101" s="127">
        <v>275</v>
      </c>
      <c r="B101" s="124" t="s">
        <v>106</v>
      </c>
      <c r="C101" s="38">
        <f>SUM(Ikärakenne[[#This Row],[0–5-vuotiaat]:[16 vuotta täyttäneet]])</f>
        <v>2499</v>
      </c>
      <c r="D101" s="41">
        <v>93</v>
      </c>
      <c r="E101" s="41">
        <v>23</v>
      </c>
      <c r="F101" s="41">
        <v>133</v>
      </c>
      <c r="G101" s="41">
        <v>92</v>
      </c>
      <c r="H101" s="41">
        <v>2158</v>
      </c>
      <c r="I101" s="41">
        <v>1195</v>
      </c>
      <c r="J101" s="136">
        <v>758808.39</v>
      </c>
      <c r="K101" s="136">
        <v>199128.48</v>
      </c>
      <c r="L101" s="136">
        <v>961737.63</v>
      </c>
      <c r="M101" s="136">
        <v>1142972.1200000001</v>
      </c>
      <c r="N101" s="136">
        <v>137788.30000000002</v>
      </c>
      <c r="O101" s="136">
        <v>95958.5</v>
      </c>
      <c r="P101" s="178">
        <f>SUM(Ikärakenne[[#This Row],[Ikä 0–5]:[Ikä 18-64]])</f>
        <v>3296393.42</v>
      </c>
    </row>
    <row r="102" spans="1:16">
      <c r="A102" s="127">
        <v>276</v>
      </c>
      <c r="B102" s="124" t="s">
        <v>107</v>
      </c>
      <c r="C102" s="38">
        <f>SUM(Ikärakenne[[#This Row],[0–5-vuotiaat]:[16 vuotta täyttäneet]])</f>
        <v>15136</v>
      </c>
      <c r="D102" s="41">
        <v>1022</v>
      </c>
      <c r="E102" s="41">
        <v>183</v>
      </c>
      <c r="F102" s="41">
        <v>1380</v>
      </c>
      <c r="G102" s="41">
        <v>703</v>
      </c>
      <c r="H102" s="41">
        <v>11848</v>
      </c>
      <c r="I102" s="41">
        <v>8538</v>
      </c>
      <c r="J102" s="136">
        <v>8338733.0599999996</v>
      </c>
      <c r="K102" s="136">
        <v>1584370.08</v>
      </c>
      <c r="L102" s="136">
        <v>9978931.7999999989</v>
      </c>
      <c r="M102" s="136">
        <v>8733797.8300000001</v>
      </c>
      <c r="N102" s="136">
        <v>756494.8</v>
      </c>
      <c r="O102" s="136">
        <v>685601.4</v>
      </c>
      <c r="P102" s="178">
        <f>SUM(Ikärakenne[[#This Row],[Ikä 0–5]:[Ikä 18-64]])</f>
        <v>30077928.969999995</v>
      </c>
    </row>
    <row r="103" spans="1:16">
      <c r="A103" s="127">
        <v>280</v>
      </c>
      <c r="B103" s="124" t="s">
        <v>108</v>
      </c>
      <c r="C103" s="38">
        <f>SUM(Ikärakenne[[#This Row],[0–5-vuotiaat]:[16 vuotta täyttäneet]])</f>
        <v>2015</v>
      </c>
      <c r="D103" s="41">
        <v>80</v>
      </c>
      <c r="E103" s="41">
        <v>23</v>
      </c>
      <c r="F103" s="41">
        <v>130</v>
      </c>
      <c r="G103" s="41">
        <v>75</v>
      </c>
      <c r="H103" s="41">
        <v>1707</v>
      </c>
      <c r="I103" s="41">
        <v>1051</v>
      </c>
      <c r="J103" s="136">
        <v>652738.39999999991</v>
      </c>
      <c r="K103" s="136">
        <v>199128.48</v>
      </c>
      <c r="L103" s="136">
        <v>940044.29999999993</v>
      </c>
      <c r="M103" s="136">
        <v>931770.75</v>
      </c>
      <c r="N103" s="136">
        <v>108991.95</v>
      </c>
      <c r="O103" s="136">
        <v>84395.3</v>
      </c>
      <c r="P103" s="178">
        <f>SUM(Ikärakenne[[#This Row],[Ikä 0–5]:[Ikä 18-64]])</f>
        <v>2917069.1799999997</v>
      </c>
    </row>
    <row r="104" spans="1:16">
      <c r="A104" s="127">
        <v>284</v>
      </c>
      <c r="B104" s="124" t="s">
        <v>109</v>
      </c>
      <c r="C104" s="38">
        <f>SUM(Ikärakenne[[#This Row],[0–5-vuotiaat]:[16 vuotta täyttäneet]])</f>
        <v>2207</v>
      </c>
      <c r="D104" s="41">
        <v>91</v>
      </c>
      <c r="E104" s="41">
        <v>14</v>
      </c>
      <c r="F104" s="41">
        <v>126</v>
      </c>
      <c r="G104" s="41">
        <v>71</v>
      </c>
      <c r="H104" s="41">
        <v>1905</v>
      </c>
      <c r="I104" s="41">
        <v>1113</v>
      </c>
      <c r="J104" s="136">
        <v>742489.92999999993</v>
      </c>
      <c r="K104" s="136">
        <v>121208.64</v>
      </c>
      <c r="L104" s="136">
        <v>911119.86</v>
      </c>
      <c r="M104" s="136">
        <v>882076.31</v>
      </c>
      <c r="N104" s="136">
        <v>121634.25</v>
      </c>
      <c r="O104" s="136">
        <v>89373.9</v>
      </c>
      <c r="P104" s="178">
        <f>SUM(Ikärakenne[[#This Row],[Ikä 0–5]:[Ikä 18-64]])</f>
        <v>2867902.89</v>
      </c>
    </row>
    <row r="105" spans="1:16">
      <c r="A105" s="127">
        <v>285</v>
      </c>
      <c r="B105" s="124" t="s">
        <v>110</v>
      </c>
      <c r="C105" s="38">
        <f>SUM(Ikärakenne[[#This Row],[0–5-vuotiaat]:[16 vuotta täyttäneet]])</f>
        <v>50500</v>
      </c>
      <c r="D105" s="41">
        <v>1911</v>
      </c>
      <c r="E105" s="41">
        <v>374</v>
      </c>
      <c r="F105" s="41">
        <v>2787</v>
      </c>
      <c r="G105" s="41">
        <v>1608</v>
      </c>
      <c r="H105" s="41">
        <v>43820</v>
      </c>
      <c r="I105" s="41">
        <v>28188</v>
      </c>
      <c r="J105" s="136">
        <v>15592288.529999999</v>
      </c>
      <c r="K105" s="136">
        <v>3238002.24</v>
      </c>
      <c r="L105" s="136">
        <v>20153103.57</v>
      </c>
      <c r="M105" s="136">
        <v>19977164.880000003</v>
      </c>
      <c r="N105" s="136">
        <v>2797907</v>
      </c>
      <c r="O105" s="136">
        <v>2263496.4</v>
      </c>
      <c r="P105" s="178">
        <f>SUM(Ikärakenne[[#This Row],[Ikä 0–5]:[Ikä 18-64]])</f>
        <v>64021962.620000005</v>
      </c>
    </row>
    <row r="106" spans="1:16">
      <c r="A106" s="127">
        <v>286</v>
      </c>
      <c r="B106" s="124" t="s">
        <v>111</v>
      </c>
      <c r="C106" s="38">
        <f>SUM(Ikärakenne[[#This Row],[0–5-vuotiaat]:[16 vuotta täyttäneet]])</f>
        <v>78880</v>
      </c>
      <c r="D106" s="41">
        <v>3063</v>
      </c>
      <c r="E106" s="41">
        <v>628</v>
      </c>
      <c r="F106" s="41">
        <v>4423</v>
      </c>
      <c r="G106" s="41">
        <v>2413</v>
      </c>
      <c r="H106" s="41">
        <v>68353</v>
      </c>
      <c r="I106" s="41">
        <v>42941</v>
      </c>
      <c r="J106" s="136">
        <v>24991721.489999998</v>
      </c>
      <c r="K106" s="136">
        <v>5437073.2800000003</v>
      </c>
      <c r="L106" s="136">
        <v>31983199.529999997</v>
      </c>
      <c r="M106" s="136">
        <v>29978170.93</v>
      </c>
      <c r="N106" s="136">
        <v>4364339.05</v>
      </c>
      <c r="O106" s="136">
        <v>3448162.3</v>
      </c>
      <c r="P106" s="178">
        <f>SUM(Ikärakenne[[#This Row],[Ikä 0–5]:[Ikä 18-64]])</f>
        <v>100202666.57999998</v>
      </c>
    </row>
    <row r="107" spans="1:16">
      <c r="A107" s="127">
        <v>287</v>
      </c>
      <c r="B107" s="124" t="s">
        <v>112</v>
      </c>
      <c r="C107" s="38">
        <f>SUM(Ikärakenne[[#This Row],[0–5-vuotiaat]:[16 vuotta täyttäneet]])</f>
        <v>6199</v>
      </c>
      <c r="D107" s="41">
        <v>249</v>
      </c>
      <c r="E107" s="41">
        <v>48</v>
      </c>
      <c r="F107" s="41">
        <v>325</v>
      </c>
      <c r="G107" s="41">
        <v>193</v>
      </c>
      <c r="H107" s="41">
        <v>5384</v>
      </c>
      <c r="I107" s="41">
        <v>2949</v>
      </c>
      <c r="J107" s="136">
        <v>2031648.2699999998</v>
      </c>
      <c r="K107" s="136">
        <v>415572.47999999998</v>
      </c>
      <c r="L107" s="136">
        <v>2350110.75</v>
      </c>
      <c r="M107" s="136">
        <v>2397756.73</v>
      </c>
      <c r="N107" s="136">
        <v>343768.4</v>
      </c>
      <c r="O107" s="136">
        <v>236804.69999999998</v>
      </c>
      <c r="P107" s="178">
        <f>SUM(Ikärakenne[[#This Row],[Ikä 0–5]:[Ikä 18-64]])</f>
        <v>7775661.330000001</v>
      </c>
    </row>
    <row r="108" spans="1:16">
      <c r="A108" s="127">
        <v>288</v>
      </c>
      <c r="B108" s="124" t="s">
        <v>113</v>
      </c>
      <c r="C108" s="38">
        <f>SUM(Ikärakenne[[#This Row],[0–5-vuotiaat]:[16 vuotta täyttäneet]])</f>
        <v>6368</v>
      </c>
      <c r="D108" s="41">
        <v>354</v>
      </c>
      <c r="E108" s="41">
        <v>75</v>
      </c>
      <c r="F108" s="41">
        <v>441</v>
      </c>
      <c r="G108" s="41">
        <v>276</v>
      </c>
      <c r="H108" s="41">
        <v>5222</v>
      </c>
      <c r="I108" s="41">
        <v>3371</v>
      </c>
      <c r="J108" s="136">
        <v>2888367.42</v>
      </c>
      <c r="K108" s="136">
        <v>649332</v>
      </c>
      <c r="L108" s="136">
        <v>3188919.51</v>
      </c>
      <c r="M108" s="136">
        <v>3428916.3600000003</v>
      </c>
      <c r="N108" s="136">
        <v>333424.7</v>
      </c>
      <c r="O108" s="136">
        <v>270691.3</v>
      </c>
      <c r="P108" s="178">
        <f>SUM(Ikärakenne[[#This Row],[Ikä 0–5]:[Ikä 18-64]])</f>
        <v>10759651.289999999</v>
      </c>
    </row>
    <row r="109" spans="1:16">
      <c r="A109" s="127">
        <v>290</v>
      </c>
      <c r="B109" s="124" t="s">
        <v>114</v>
      </c>
      <c r="C109" s="38">
        <f>SUM(Ikärakenne[[#This Row],[0–5-vuotiaat]:[16 vuotta täyttäneet]])</f>
        <v>7582</v>
      </c>
      <c r="D109" s="41">
        <v>211</v>
      </c>
      <c r="E109" s="41">
        <v>50</v>
      </c>
      <c r="F109" s="41">
        <v>337</v>
      </c>
      <c r="G109" s="41">
        <v>222</v>
      </c>
      <c r="H109" s="41">
        <v>6762</v>
      </c>
      <c r="I109" s="41">
        <v>3592</v>
      </c>
      <c r="J109" s="136">
        <v>1721597.5299999998</v>
      </c>
      <c r="K109" s="136">
        <v>432888</v>
      </c>
      <c r="L109" s="136">
        <v>2436884.0699999998</v>
      </c>
      <c r="M109" s="136">
        <v>2758041.42</v>
      </c>
      <c r="N109" s="136">
        <v>431753.7</v>
      </c>
      <c r="O109" s="136">
        <v>288437.59999999998</v>
      </c>
      <c r="P109" s="178">
        <f>SUM(Ikärakenne[[#This Row],[Ikä 0–5]:[Ikä 18-64]])</f>
        <v>8069602.3199999994</v>
      </c>
    </row>
    <row r="110" spans="1:16">
      <c r="A110" s="127">
        <v>291</v>
      </c>
      <c r="B110" s="124" t="s">
        <v>115</v>
      </c>
      <c r="C110" s="38">
        <f>SUM(Ikärakenne[[#This Row],[0–5-vuotiaat]:[16 vuotta täyttäneet]])</f>
        <v>2092</v>
      </c>
      <c r="D110" s="41">
        <v>56</v>
      </c>
      <c r="E110" s="41">
        <v>7</v>
      </c>
      <c r="F110" s="41">
        <v>78</v>
      </c>
      <c r="G110" s="41">
        <v>47</v>
      </c>
      <c r="H110" s="41">
        <v>1904</v>
      </c>
      <c r="I110" s="41">
        <v>909</v>
      </c>
      <c r="J110" s="136">
        <v>456916.88</v>
      </c>
      <c r="K110" s="136">
        <v>60604.32</v>
      </c>
      <c r="L110" s="136">
        <v>564026.57999999996</v>
      </c>
      <c r="M110" s="136">
        <v>583909.67000000004</v>
      </c>
      <c r="N110" s="136">
        <v>121570.40000000001</v>
      </c>
      <c r="O110" s="136">
        <v>72992.7</v>
      </c>
      <c r="P110" s="178">
        <f>SUM(Ikärakenne[[#This Row],[Ikä 0–5]:[Ikä 18-64]])</f>
        <v>1860020.55</v>
      </c>
    </row>
    <row r="111" spans="1:16">
      <c r="A111" s="127">
        <v>297</v>
      </c>
      <c r="B111" s="124" t="s">
        <v>116</v>
      </c>
      <c r="C111" s="38">
        <f>SUM(Ikärakenne[[#This Row],[0–5-vuotiaat]:[16 vuotta täyttäneet]])</f>
        <v>124021</v>
      </c>
      <c r="D111" s="41">
        <v>6217</v>
      </c>
      <c r="E111" s="41">
        <v>1081</v>
      </c>
      <c r="F111" s="41">
        <v>7556</v>
      </c>
      <c r="G111" s="41">
        <v>3690</v>
      </c>
      <c r="H111" s="41">
        <v>105477</v>
      </c>
      <c r="I111" s="41">
        <v>75100</v>
      </c>
      <c r="J111" s="136">
        <v>50725932.909999996</v>
      </c>
      <c r="K111" s="136">
        <v>9359038.5600000005</v>
      </c>
      <c r="L111" s="136">
        <v>54638267.159999996</v>
      </c>
      <c r="M111" s="136">
        <v>45843120.899999999</v>
      </c>
      <c r="N111" s="136">
        <v>6734706.4500000002</v>
      </c>
      <c r="O111" s="136">
        <v>6030530</v>
      </c>
      <c r="P111" s="178">
        <f>SUM(Ikärakenne[[#This Row],[Ikä 0–5]:[Ikä 18-64]])</f>
        <v>173331595.97999999</v>
      </c>
    </row>
    <row r="112" spans="1:16">
      <c r="A112" s="124">
        <v>300</v>
      </c>
      <c r="B112" s="124" t="s">
        <v>117</v>
      </c>
      <c r="C112" s="38">
        <f>SUM(Ikärakenne[[#This Row],[0–5-vuotiaat]:[16 vuotta täyttäneet]])</f>
        <v>3381</v>
      </c>
      <c r="D112" s="38">
        <v>123</v>
      </c>
      <c r="E112" s="38">
        <v>33</v>
      </c>
      <c r="F112" s="38">
        <v>185</v>
      </c>
      <c r="G112" s="38">
        <v>123</v>
      </c>
      <c r="H112" s="38">
        <v>2917</v>
      </c>
      <c r="I112" s="41">
        <v>1654</v>
      </c>
      <c r="J112" s="136">
        <v>1003585.2899999999</v>
      </c>
      <c r="K112" s="136">
        <v>285706.08</v>
      </c>
      <c r="L112" s="136">
        <v>1337755.3499999999</v>
      </c>
      <c r="M112" s="136">
        <v>1528104.03</v>
      </c>
      <c r="N112" s="136">
        <v>186250.45</v>
      </c>
      <c r="O112" s="136">
        <v>132816.19999999998</v>
      </c>
      <c r="P112" s="178">
        <f>SUM(Ikärakenne[[#This Row],[Ikä 0–5]:[Ikä 18-64]])</f>
        <v>4474217.4000000004</v>
      </c>
    </row>
    <row r="113" spans="1:16">
      <c r="A113" s="127">
        <v>301</v>
      </c>
      <c r="B113" s="124" t="s">
        <v>118</v>
      </c>
      <c r="C113" s="38">
        <f>SUM(Ikärakenne[[#This Row],[0–5-vuotiaat]:[16 vuotta täyttäneet]])</f>
        <v>19759</v>
      </c>
      <c r="D113" s="41">
        <v>847</v>
      </c>
      <c r="E113" s="41">
        <v>195</v>
      </c>
      <c r="F113" s="41">
        <v>1282</v>
      </c>
      <c r="G113" s="41">
        <v>721</v>
      </c>
      <c r="H113" s="41">
        <v>16714</v>
      </c>
      <c r="I113" s="41">
        <v>9970</v>
      </c>
      <c r="J113" s="136">
        <v>6910867.8099999996</v>
      </c>
      <c r="K113" s="136">
        <v>1688263.2</v>
      </c>
      <c r="L113" s="136">
        <v>9270283.0199999996</v>
      </c>
      <c r="M113" s="136">
        <v>8957422.8100000005</v>
      </c>
      <c r="N113" s="136">
        <v>1067188.9000000001</v>
      </c>
      <c r="O113" s="136">
        <v>800591</v>
      </c>
      <c r="P113" s="178">
        <f>SUM(Ikärakenne[[#This Row],[Ikä 0–5]:[Ikä 18-64]])</f>
        <v>28694616.740000002</v>
      </c>
    </row>
    <row r="114" spans="1:16">
      <c r="A114" s="127">
        <v>304</v>
      </c>
      <c r="B114" s="124" t="s">
        <v>119</v>
      </c>
      <c r="C114" s="38">
        <f>SUM(Ikärakenne[[#This Row],[0–5-vuotiaat]:[16 vuotta täyttäneet]])</f>
        <v>949</v>
      </c>
      <c r="D114" s="38">
        <v>20</v>
      </c>
      <c r="E114" s="135">
        <v>6</v>
      </c>
      <c r="F114" s="135">
        <v>35</v>
      </c>
      <c r="G114" s="135">
        <v>18</v>
      </c>
      <c r="H114" s="135">
        <v>870</v>
      </c>
      <c r="I114" s="41">
        <v>459</v>
      </c>
      <c r="J114" s="136">
        <v>163184.59999999998</v>
      </c>
      <c r="K114" s="136">
        <v>51946.559999999998</v>
      </c>
      <c r="L114" s="136">
        <v>253088.84999999998</v>
      </c>
      <c r="M114" s="136">
        <v>223624.98</v>
      </c>
      <c r="N114" s="136">
        <v>55549.5</v>
      </c>
      <c r="O114" s="136">
        <v>36857.699999999997</v>
      </c>
      <c r="P114" s="178">
        <f>SUM(Ikärakenne[[#This Row],[Ikä 0–5]:[Ikä 18-64]])</f>
        <v>784252.19</v>
      </c>
    </row>
    <row r="115" spans="1:16">
      <c r="A115" s="127">
        <v>305</v>
      </c>
      <c r="B115" s="124" t="s">
        <v>120</v>
      </c>
      <c r="C115" s="38">
        <f>SUM(Ikärakenne[[#This Row],[0–5-vuotiaat]:[16 vuotta täyttäneet]])</f>
        <v>15019</v>
      </c>
      <c r="D115" s="41">
        <v>624</v>
      </c>
      <c r="E115" s="41">
        <v>133</v>
      </c>
      <c r="F115" s="41">
        <v>994</v>
      </c>
      <c r="G115" s="41">
        <v>540</v>
      </c>
      <c r="H115" s="41">
        <v>12728</v>
      </c>
      <c r="I115" s="41">
        <v>7791</v>
      </c>
      <c r="J115" s="136">
        <v>5091359.5199999996</v>
      </c>
      <c r="K115" s="136">
        <v>1151482.08</v>
      </c>
      <c r="L115" s="136">
        <v>7187723.3399999999</v>
      </c>
      <c r="M115" s="136">
        <v>6708749.4000000004</v>
      </c>
      <c r="N115" s="136">
        <v>812682.8</v>
      </c>
      <c r="O115" s="136">
        <v>625617.29999999993</v>
      </c>
      <c r="P115" s="178">
        <f>SUM(Ikärakenne[[#This Row],[Ikä 0–5]:[Ikä 18-64]])</f>
        <v>21577614.440000001</v>
      </c>
    </row>
    <row r="116" spans="1:16">
      <c r="A116" s="127">
        <v>309</v>
      </c>
      <c r="B116" s="124" t="s">
        <v>121</v>
      </c>
      <c r="C116" s="38">
        <f>SUM(Ikärakenne[[#This Row],[0–5-vuotiaat]:[16 vuotta täyttäneet]])</f>
        <v>6409</v>
      </c>
      <c r="D116" s="41">
        <v>206</v>
      </c>
      <c r="E116" s="41">
        <v>49</v>
      </c>
      <c r="F116" s="41">
        <v>408</v>
      </c>
      <c r="G116" s="41">
        <v>205</v>
      </c>
      <c r="H116" s="41">
        <v>5541</v>
      </c>
      <c r="I116" s="41">
        <v>3175</v>
      </c>
      <c r="J116" s="136">
        <v>1680801.38</v>
      </c>
      <c r="K116" s="136">
        <v>424230.24</v>
      </c>
      <c r="L116" s="136">
        <v>2950292.88</v>
      </c>
      <c r="M116" s="136">
        <v>2546840.0500000003</v>
      </c>
      <c r="N116" s="136">
        <v>353792.85000000003</v>
      </c>
      <c r="O116" s="136">
        <v>254952.5</v>
      </c>
      <c r="P116" s="178">
        <f>SUM(Ikärakenne[[#This Row],[Ikä 0–5]:[Ikä 18-64]])</f>
        <v>8210909.9000000004</v>
      </c>
    </row>
    <row r="117" spans="1:16">
      <c r="A117" s="127">
        <v>312</v>
      </c>
      <c r="B117" s="124" t="s">
        <v>122</v>
      </c>
      <c r="C117" s="38">
        <f>SUM(Ikärakenne[[#This Row],[0–5-vuotiaat]:[16 vuotta täyttäneet]])</f>
        <v>1174</v>
      </c>
      <c r="D117" s="41">
        <v>53</v>
      </c>
      <c r="E117" s="41">
        <v>6</v>
      </c>
      <c r="F117" s="41">
        <v>93</v>
      </c>
      <c r="G117" s="41">
        <v>45</v>
      </c>
      <c r="H117" s="41">
        <v>977</v>
      </c>
      <c r="I117" s="41">
        <v>503</v>
      </c>
      <c r="J117" s="136">
        <v>432439.19</v>
      </c>
      <c r="K117" s="136">
        <v>51946.559999999998</v>
      </c>
      <c r="L117" s="136">
        <v>672493.23</v>
      </c>
      <c r="M117" s="136">
        <v>559062.45000000007</v>
      </c>
      <c r="N117" s="136">
        <v>62381.450000000004</v>
      </c>
      <c r="O117" s="136">
        <v>40390.9</v>
      </c>
      <c r="P117" s="178">
        <f>SUM(Ikärakenne[[#This Row],[Ikä 0–5]:[Ikä 18-64]])</f>
        <v>1818713.78</v>
      </c>
    </row>
    <row r="118" spans="1:16">
      <c r="A118" s="127">
        <v>316</v>
      </c>
      <c r="B118" s="124" t="s">
        <v>123</v>
      </c>
      <c r="C118" s="38">
        <f>SUM(Ikärakenne[[#This Row],[0–5-vuotiaat]:[16 vuotta täyttäneet]])</f>
        <v>4114</v>
      </c>
      <c r="D118" s="41">
        <v>150</v>
      </c>
      <c r="E118" s="41">
        <v>30</v>
      </c>
      <c r="F118" s="41">
        <v>246</v>
      </c>
      <c r="G118" s="41">
        <v>127</v>
      </c>
      <c r="H118" s="41">
        <v>3561</v>
      </c>
      <c r="I118" s="41">
        <v>2262</v>
      </c>
      <c r="J118" s="136">
        <v>1223884.5</v>
      </c>
      <c r="K118" s="136">
        <v>259732.80000000002</v>
      </c>
      <c r="L118" s="136">
        <v>1778853.0599999998</v>
      </c>
      <c r="M118" s="136">
        <v>1577798.47</v>
      </c>
      <c r="N118" s="136">
        <v>227369.85</v>
      </c>
      <c r="O118" s="136">
        <v>181638.6</v>
      </c>
      <c r="P118" s="178">
        <f>SUM(Ikärakenne[[#This Row],[Ikä 0–5]:[Ikä 18-64]])</f>
        <v>5249277.2799999993</v>
      </c>
    </row>
    <row r="119" spans="1:16">
      <c r="A119" s="127">
        <v>317</v>
      </c>
      <c r="B119" s="124" t="s">
        <v>124</v>
      </c>
      <c r="C119" s="38">
        <f>SUM(Ikärakenne[[#This Row],[0–5-vuotiaat]:[16 vuotta täyttäneet]])</f>
        <v>2440</v>
      </c>
      <c r="D119" s="41">
        <v>128</v>
      </c>
      <c r="E119" s="41">
        <v>22</v>
      </c>
      <c r="F119" s="41">
        <v>182</v>
      </c>
      <c r="G119" s="41">
        <v>118</v>
      </c>
      <c r="H119" s="41">
        <v>1990</v>
      </c>
      <c r="I119" s="41">
        <v>1174</v>
      </c>
      <c r="J119" s="136">
        <v>1044381.44</v>
      </c>
      <c r="K119" s="136">
        <v>190470.72</v>
      </c>
      <c r="L119" s="136">
        <v>1316062.02</v>
      </c>
      <c r="M119" s="136">
        <v>1465985.98</v>
      </c>
      <c r="N119" s="136">
        <v>127061.5</v>
      </c>
      <c r="O119" s="136">
        <v>94272.2</v>
      </c>
      <c r="P119" s="178">
        <f>SUM(Ikärakenne[[#This Row],[Ikä 0–5]:[Ikä 18-64]])</f>
        <v>4238233.8599999994</v>
      </c>
    </row>
    <row r="120" spans="1:16">
      <c r="A120" s="127">
        <v>320</v>
      </c>
      <c r="B120" s="124" t="s">
        <v>125</v>
      </c>
      <c r="C120" s="38">
        <f>SUM(Ikärakenne[[#This Row],[0–5-vuotiaat]:[16 vuotta täyttäneet]])</f>
        <v>7030</v>
      </c>
      <c r="D120" s="41">
        <v>240</v>
      </c>
      <c r="E120" s="41">
        <v>40</v>
      </c>
      <c r="F120" s="41">
        <v>300</v>
      </c>
      <c r="G120" s="41">
        <v>169</v>
      </c>
      <c r="H120" s="41">
        <v>6281</v>
      </c>
      <c r="I120" s="41">
        <v>3265</v>
      </c>
      <c r="J120" s="136">
        <v>1958215.2</v>
      </c>
      <c r="K120" s="136">
        <v>346310.40000000002</v>
      </c>
      <c r="L120" s="136">
        <v>2169333</v>
      </c>
      <c r="M120" s="136">
        <v>2099590.0900000003</v>
      </c>
      <c r="N120" s="136">
        <v>401041.85000000003</v>
      </c>
      <c r="O120" s="136">
        <v>262179.5</v>
      </c>
      <c r="P120" s="178">
        <f>SUM(Ikärakenne[[#This Row],[Ikä 0–5]:[Ikä 18-64]])</f>
        <v>7236670.0399999991</v>
      </c>
    </row>
    <row r="121" spans="1:16">
      <c r="A121" s="127">
        <v>322</v>
      </c>
      <c r="B121" s="124" t="s">
        <v>126</v>
      </c>
      <c r="C121" s="38">
        <f>SUM(Ikärakenne[[#This Row],[0–5-vuotiaat]:[16 vuotta täyttäneet]])</f>
        <v>6462</v>
      </c>
      <c r="D121" s="41">
        <v>241</v>
      </c>
      <c r="E121" s="41">
        <v>46</v>
      </c>
      <c r="F121" s="41">
        <v>338</v>
      </c>
      <c r="G121" s="41">
        <v>185</v>
      </c>
      <c r="H121" s="41">
        <v>5652</v>
      </c>
      <c r="I121" s="41">
        <v>3191</v>
      </c>
      <c r="J121" s="136">
        <v>1966374.43</v>
      </c>
      <c r="K121" s="136">
        <v>398256.96</v>
      </c>
      <c r="L121" s="136">
        <v>2444115.1799999997</v>
      </c>
      <c r="M121" s="136">
        <v>2298367.85</v>
      </c>
      <c r="N121" s="136">
        <v>360880.2</v>
      </c>
      <c r="O121" s="136">
        <v>256237.3</v>
      </c>
      <c r="P121" s="178">
        <f>SUM(Ikärakenne[[#This Row],[Ikä 0–5]:[Ikä 18-64]])</f>
        <v>7724231.9199999999</v>
      </c>
    </row>
    <row r="122" spans="1:16">
      <c r="A122" s="127">
        <v>398</v>
      </c>
      <c r="B122" s="124" t="s">
        <v>127</v>
      </c>
      <c r="C122" s="38">
        <f>SUM(Ikärakenne[[#This Row],[0–5-vuotiaat]:[16 vuotta täyttäneet]])</f>
        <v>120693</v>
      </c>
      <c r="D122" s="41">
        <v>5666</v>
      </c>
      <c r="E122" s="41">
        <v>1039</v>
      </c>
      <c r="F122" s="41">
        <v>7133</v>
      </c>
      <c r="G122" s="41">
        <v>3930</v>
      </c>
      <c r="H122" s="41">
        <v>102925</v>
      </c>
      <c r="I122" s="41">
        <v>69442</v>
      </c>
      <c r="J122" s="136">
        <v>46230197.18</v>
      </c>
      <c r="K122" s="136">
        <v>8995412.6400000006</v>
      </c>
      <c r="L122" s="136">
        <v>51579507.629999995</v>
      </c>
      <c r="M122" s="136">
        <v>48824787.300000004</v>
      </c>
      <c r="N122" s="136">
        <v>6571761.25</v>
      </c>
      <c r="O122" s="136">
        <v>5576192.5999999996</v>
      </c>
      <c r="P122" s="178">
        <f>SUM(Ikärakenne[[#This Row],[Ikä 0–5]:[Ikä 18-64]])</f>
        <v>167777858.59999999</v>
      </c>
    </row>
    <row r="123" spans="1:16">
      <c r="A123" s="127">
        <v>399</v>
      </c>
      <c r="B123" s="124" t="s">
        <v>128</v>
      </c>
      <c r="C123" s="38">
        <f>SUM(Ikärakenne[[#This Row],[0–5-vuotiaat]:[16 vuotta täyttäneet]])</f>
        <v>7682</v>
      </c>
      <c r="D123" s="38">
        <v>372</v>
      </c>
      <c r="E123" s="135">
        <v>104</v>
      </c>
      <c r="F123" s="135">
        <v>682</v>
      </c>
      <c r="G123" s="135">
        <v>380</v>
      </c>
      <c r="H123" s="135">
        <v>6144</v>
      </c>
      <c r="I123" s="41">
        <v>4032</v>
      </c>
      <c r="J123" s="136">
        <v>3035233.56</v>
      </c>
      <c r="K123" s="136">
        <v>900407.04</v>
      </c>
      <c r="L123" s="136">
        <v>4931617.0199999996</v>
      </c>
      <c r="M123" s="136">
        <v>4720971.8</v>
      </c>
      <c r="N123" s="136">
        <v>392294.40000000002</v>
      </c>
      <c r="O123" s="136">
        <v>323769.59999999998</v>
      </c>
      <c r="P123" s="178">
        <f>SUM(Ikärakenne[[#This Row],[Ikä 0–5]:[Ikä 18-64]])</f>
        <v>14304293.419999998</v>
      </c>
    </row>
    <row r="124" spans="1:16">
      <c r="A124" s="127">
        <v>400</v>
      </c>
      <c r="B124" s="124" t="s">
        <v>129</v>
      </c>
      <c r="C124" s="38">
        <f>SUM(Ikärakenne[[#This Row],[0–5-vuotiaat]:[16 vuotta täyttäneet]])</f>
        <v>8441</v>
      </c>
      <c r="D124" s="41">
        <v>397</v>
      </c>
      <c r="E124" s="41">
        <v>90</v>
      </c>
      <c r="F124" s="41">
        <v>632</v>
      </c>
      <c r="G124" s="41">
        <v>343</v>
      </c>
      <c r="H124" s="41">
        <v>6979</v>
      </c>
      <c r="I124" s="41">
        <v>4609</v>
      </c>
      <c r="J124" s="136">
        <v>3239214.31</v>
      </c>
      <c r="K124" s="136">
        <v>779198.4</v>
      </c>
      <c r="L124" s="136">
        <v>4570061.5199999996</v>
      </c>
      <c r="M124" s="136">
        <v>4261298.2300000004</v>
      </c>
      <c r="N124" s="136">
        <v>445609.15</v>
      </c>
      <c r="O124" s="136">
        <v>370102.7</v>
      </c>
      <c r="P124" s="178">
        <f>SUM(Ikärakenne[[#This Row],[Ikä 0–5]:[Ikä 18-64]])</f>
        <v>13665484.310000001</v>
      </c>
    </row>
    <row r="125" spans="1:16">
      <c r="A125" s="127">
        <v>402</v>
      </c>
      <c r="B125" s="124" t="s">
        <v>130</v>
      </c>
      <c r="C125" s="38">
        <f>SUM(Ikärakenne[[#This Row],[0–5-vuotiaat]:[16 vuotta täyttäneet]])</f>
        <v>8975</v>
      </c>
      <c r="D125" s="41">
        <v>375</v>
      </c>
      <c r="E125" s="41">
        <v>78</v>
      </c>
      <c r="F125" s="41">
        <v>556</v>
      </c>
      <c r="G125" s="41">
        <v>358</v>
      </c>
      <c r="H125" s="41">
        <v>7608</v>
      </c>
      <c r="I125" s="41">
        <v>4699</v>
      </c>
      <c r="J125" s="136">
        <v>3059711.25</v>
      </c>
      <c r="K125" s="136">
        <v>675305.28</v>
      </c>
      <c r="L125" s="136">
        <v>4020497.1599999997</v>
      </c>
      <c r="M125" s="136">
        <v>4447652.38</v>
      </c>
      <c r="N125" s="136">
        <v>485770.8</v>
      </c>
      <c r="O125" s="136">
        <v>377329.7</v>
      </c>
      <c r="P125" s="178">
        <f>SUM(Ikärakenne[[#This Row],[Ikä 0–5]:[Ikä 18-64]])</f>
        <v>13066266.57</v>
      </c>
    </row>
    <row r="126" spans="1:16">
      <c r="A126" s="127">
        <v>403</v>
      </c>
      <c r="B126" s="124" t="s">
        <v>131</v>
      </c>
      <c r="C126" s="38">
        <f>SUM(Ikärakenne[[#This Row],[0–5-vuotiaat]:[16 vuotta täyttäneet]])</f>
        <v>2789</v>
      </c>
      <c r="D126" s="41">
        <v>109</v>
      </c>
      <c r="E126" s="41">
        <v>22</v>
      </c>
      <c r="F126" s="41">
        <v>187</v>
      </c>
      <c r="G126" s="41">
        <v>85</v>
      </c>
      <c r="H126" s="41">
        <v>2386</v>
      </c>
      <c r="I126" s="41">
        <v>1256</v>
      </c>
      <c r="J126" s="136">
        <v>889356.07</v>
      </c>
      <c r="K126" s="136">
        <v>190470.72</v>
      </c>
      <c r="L126" s="136">
        <v>1352217.5699999998</v>
      </c>
      <c r="M126" s="136">
        <v>1056006.8500000001</v>
      </c>
      <c r="N126" s="136">
        <v>152346.1</v>
      </c>
      <c r="O126" s="136">
        <v>100856.8</v>
      </c>
      <c r="P126" s="178">
        <f>SUM(Ikärakenne[[#This Row],[Ikä 0–5]:[Ikä 18-64]])</f>
        <v>3741254.11</v>
      </c>
    </row>
    <row r="127" spans="1:16">
      <c r="A127" s="127">
        <v>405</v>
      </c>
      <c r="B127" s="124" t="s">
        <v>132</v>
      </c>
      <c r="C127" s="38">
        <f>SUM(Ikärakenne[[#This Row],[0–5-vuotiaat]:[16 vuotta täyttäneet]])</f>
        <v>72988</v>
      </c>
      <c r="D127" s="41">
        <v>3044</v>
      </c>
      <c r="E127" s="41">
        <v>618</v>
      </c>
      <c r="F127" s="41">
        <v>4236</v>
      </c>
      <c r="G127" s="41">
        <v>2281</v>
      </c>
      <c r="H127" s="41">
        <v>62809</v>
      </c>
      <c r="I127" s="41">
        <v>42925</v>
      </c>
      <c r="J127" s="136">
        <v>24836696.119999997</v>
      </c>
      <c r="K127" s="136">
        <v>5350495.68</v>
      </c>
      <c r="L127" s="136">
        <v>30630981.959999997</v>
      </c>
      <c r="M127" s="136">
        <v>28338254.41</v>
      </c>
      <c r="N127" s="136">
        <v>4010354.65</v>
      </c>
      <c r="O127" s="136">
        <v>3446877.5</v>
      </c>
      <c r="P127" s="178">
        <f>SUM(Ikärakenne[[#This Row],[Ikä 0–5]:[Ikä 18-64]])</f>
        <v>96613660.319999993</v>
      </c>
    </row>
    <row r="128" spans="1:16">
      <c r="A128" s="127">
        <v>407</v>
      </c>
      <c r="B128" s="124" t="s">
        <v>133</v>
      </c>
      <c r="C128" s="38">
        <f>SUM(Ikärakenne[[#This Row],[0–5-vuotiaat]:[16 vuotta täyttäneet]])</f>
        <v>2449</v>
      </c>
      <c r="D128" s="41">
        <v>98</v>
      </c>
      <c r="E128" s="41">
        <v>29</v>
      </c>
      <c r="F128" s="41">
        <v>142</v>
      </c>
      <c r="G128" s="41">
        <v>82</v>
      </c>
      <c r="H128" s="41">
        <v>2098</v>
      </c>
      <c r="I128" s="41">
        <v>1284</v>
      </c>
      <c r="J128" s="136">
        <v>799604.53999999992</v>
      </c>
      <c r="K128" s="136">
        <v>251075.04</v>
      </c>
      <c r="L128" s="136">
        <v>1026817.62</v>
      </c>
      <c r="M128" s="136">
        <v>1018736.02</v>
      </c>
      <c r="N128" s="136">
        <v>133957.30000000002</v>
      </c>
      <c r="O128" s="136">
        <v>103105.2</v>
      </c>
      <c r="P128" s="178">
        <f>SUM(Ikärakenne[[#This Row],[Ikä 0–5]:[Ikä 18-64]])</f>
        <v>3333295.7199999997</v>
      </c>
    </row>
    <row r="129" spans="1:16">
      <c r="A129" s="127">
        <v>408</v>
      </c>
      <c r="B129" s="124" t="s">
        <v>134</v>
      </c>
      <c r="C129" s="38">
        <f>SUM(Ikärakenne[[#This Row],[0–5-vuotiaat]:[16 vuotta täyttäneet]])</f>
        <v>14024</v>
      </c>
      <c r="D129" s="41">
        <v>709</v>
      </c>
      <c r="E129" s="41">
        <v>143</v>
      </c>
      <c r="F129" s="41">
        <v>1125</v>
      </c>
      <c r="G129" s="41">
        <v>560</v>
      </c>
      <c r="H129" s="41">
        <v>11487</v>
      </c>
      <c r="I129" s="41">
        <v>7544</v>
      </c>
      <c r="J129" s="136">
        <v>5784894.0699999994</v>
      </c>
      <c r="K129" s="136">
        <v>1238059.68</v>
      </c>
      <c r="L129" s="136">
        <v>8134998.75</v>
      </c>
      <c r="M129" s="136">
        <v>6957221.6000000006</v>
      </c>
      <c r="N129" s="136">
        <v>733444.95000000007</v>
      </c>
      <c r="O129" s="136">
        <v>605783.19999999995</v>
      </c>
      <c r="P129" s="178">
        <f>SUM(Ikärakenne[[#This Row],[Ikä 0–5]:[Ikä 18-64]])</f>
        <v>23454402.25</v>
      </c>
    </row>
    <row r="130" spans="1:16">
      <c r="A130" s="127">
        <v>410</v>
      </c>
      <c r="B130" s="124" t="s">
        <v>135</v>
      </c>
      <c r="C130" s="38">
        <f>SUM(Ikärakenne[[#This Row],[0–5-vuotiaat]:[16 vuotta täyttäneet]])</f>
        <v>18762</v>
      </c>
      <c r="D130" s="41">
        <v>1203</v>
      </c>
      <c r="E130" s="41">
        <v>219</v>
      </c>
      <c r="F130" s="41">
        <v>1917</v>
      </c>
      <c r="G130" s="41">
        <v>945</v>
      </c>
      <c r="H130" s="41">
        <v>14478</v>
      </c>
      <c r="I130" s="41">
        <v>9847</v>
      </c>
      <c r="J130" s="136">
        <v>9815553.6899999995</v>
      </c>
      <c r="K130" s="136">
        <v>1896049.44</v>
      </c>
      <c r="L130" s="136">
        <v>13862037.869999999</v>
      </c>
      <c r="M130" s="136">
        <v>11740311.450000001</v>
      </c>
      <c r="N130" s="136">
        <v>924420.3</v>
      </c>
      <c r="O130" s="136">
        <v>790714.1</v>
      </c>
      <c r="P130" s="178">
        <f>SUM(Ikärakenne[[#This Row],[Ikä 0–5]:[Ikä 18-64]])</f>
        <v>39029086.850000001</v>
      </c>
    </row>
    <row r="131" spans="1:16">
      <c r="A131" s="127">
        <v>416</v>
      </c>
      <c r="B131" s="124" t="s">
        <v>136</v>
      </c>
      <c r="C131" s="38">
        <f>SUM(Ikärakenne[[#This Row],[0–5-vuotiaat]:[16 vuotta täyttäneet]])</f>
        <v>2862</v>
      </c>
      <c r="D131" s="41">
        <v>140</v>
      </c>
      <c r="E131" s="41">
        <v>31</v>
      </c>
      <c r="F131" s="41">
        <v>230</v>
      </c>
      <c r="G131" s="41">
        <v>113</v>
      </c>
      <c r="H131" s="41">
        <v>2348</v>
      </c>
      <c r="I131" s="41">
        <v>1519</v>
      </c>
      <c r="J131" s="136">
        <v>1142292.2</v>
      </c>
      <c r="K131" s="136">
        <v>268390.56</v>
      </c>
      <c r="L131" s="136">
        <v>1663155.2999999998</v>
      </c>
      <c r="M131" s="136">
        <v>1403867.9300000002</v>
      </c>
      <c r="N131" s="136">
        <v>149919.80000000002</v>
      </c>
      <c r="O131" s="136">
        <v>121975.7</v>
      </c>
      <c r="P131" s="178">
        <f>SUM(Ikärakenne[[#This Row],[Ikä 0–5]:[Ikä 18-64]])</f>
        <v>4749601.49</v>
      </c>
    </row>
    <row r="132" spans="1:16">
      <c r="A132" s="127">
        <v>418</v>
      </c>
      <c r="B132" s="124" t="s">
        <v>137</v>
      </c>
      <c r="C132" s="38">
        <f>SUM(Ikärakenne[[#This Row],[0–5-vuotiaat]:[16 vuotta täyttäneet]])</f>
        <v>24711</v>
      </c>
      <c r="D132" s="41">
        <v>1691</v>
      </c>
      <c r="E132" s="41">
        <v>297</v>
      </c>
      <c r="F132" s="41">
        <v>2258</v>
      </c>
      <c r="G132" s="41">
        <v>1217</v>
      </c>
      <c r="H132" s="41">
        <v>19248</v>
      </c>
      <c r="I132" s="41">
        <v>14121</v>
      </c>
      <c r="J132" s="136">
        <v>13797257.93</v>
      </c>
      <c r="K132" s="136">
        <v>2571354.7200000002</v>
      </c>
      <c r="L132" s="136">
        <v>16327846.379999999</v>
      </c>
      <c r="M132" s="136">
        <v>15119533.370000001</v>
      </c>
      <c r="N132" s="136">
        <v>1228984.8</v>
      </c>
      <c r="O132" s="136">
        <v>1133916.3</v>
      </c>
      <c r="P132" s="178">
        <f>SUM(Ikärakenne[[#This Row],[Ikä 0–5]:[Ikä 18-64]])</f>
        <v>50178893.5</v>
      </c>
    </row>
    <row r="133" spans="1:16">
      <c r="A133" s="127">
        <v>420</v>
      </c>
      <c r="B133" s="124" t="s">
        <v>138</v>
      </c>
      <c r="C133" s="38">
        <f>SUM(Ikärakenne[[#This Row],[0–5-vuotiaat]:[16 vuotta täyttäneet]])</f>
        <v>9049</v>
      </c>
      <c r="D133" s="41">
        <v>414</v>
      </c>
      <c r="E133" s="41">
        <v>76</v>
      </c>
      <c r="F133" s="41">
        <v>475</v>
      </c>
      <c r="G133" s="41">
        <v>305</v>
      </c>
      <c r="H133" s="41">
        <v>7779</v>
      </c>
      <c r="I133" s="41">
        <v>4576</v>
      </c>
      <c r="J133" s="136">
        <v>3377921.2199999997</v>
      </c>
      <c r="K133" s="136">
        <v>657989.76</v>
      </c>
      <c r="L133" s="136">
        <v>3434777.25</v>
      </c>
      <c r="M133" s="136">
        <v>3789201.0500000003</v>
      </c>
      <c r="N133" s="136">
        <v>496689.15</v>
      </c>
      <c r="O133" s="136">
        <v>367452.8</v>
      </c>
      <c r="P133" s="178">
        <f>SUM(Ikärakenne[[#This Row],[Ikä 0–5]:[Ikä 18-64]])</f>
        <v>12124031.23</v>
      </c>
    </row>
    <row r="134" spans="1:16">
      <c r="A134" s="127">
        <v>421</v>
      </c>
      <c r="B134" s="124" t="s">
        <v>139</v>
      </c>
      <c r="C134" s="38">
        <f>SUM(Ikärakenne[[#This Row],[0–5-vuotiaat]:[16 vuotta täyttäneet]])</f>
        <v>682</v>
      </c>
      <c r="D134" s="41">
        <v>38</v>
      </c>
      <c r="E134" s="41">
        <v>10</v>
      </c>
      <c r="F134" s="41">
        <v>44</v>
      </c>
      <c r="G134" s="41">
        <v>26</v>
      </c>
      <c r="H134" s="41">
        <v>564</v>
      </c>
      <c r="I134" s="41">
        <v>325</v>
      </c>
      <c r="J134" s="136">
        <v>310050.74</v>
      </c>
      <c r="K134" s="136">
        <v>86577.600000000006</v>
      </c>
      <c r="L134" s="136">
        <v>318168.83999999997</v>
      </c>
      <c r="M134" s="136">
        <v>323013.86</v>
      </c>
      <c r="N134" s="136">
        <v>36011.4</v>
      </c>
      <c r="O134" s="136">
        <v>26097.5</v>
      </c>
      <c r="P134" s="178">
        <f>SUM(Ikärakenne[[#This Row],[Ikä 0–5]:[Ikä 18-64]])</f>
        <v>1099919.94</v>
      </c>
    </row>
    <row r="135" spans="1:16">
      <c r="A135" s="127">
        <v>422</v>
      </c>
      <c r="B135" s="124" t="s">
        <v>140</v>
      </c>
      <c r="C135" s="38">
        <f>SUM(Ikärakenne[[#This Row],[0–5-vuotiaat]:[16 vuotta täyttäneet]])</f>
        <v>10228</v>
      </c>
      <c r="D135" s="41">
        <v>268</v>
      </c>
      <c r="E135" s="41">
        <v>57</v>
      </c>
      <c r="F135" s="41">
        <v>476</v>
      </c>
      <c r="G135" s="41">
        <v>241</v>
      </c>
      <c r="H135" s="41">
        <v>9186</v>
      </c>
      <c r="I135" s="41">
        <v>4804</v>
      </c>
      <c r="J135" s="136">
        <v>2186673.6399999997</v>
      </c>
      <c r="K135" s="136">
        <v>493492.32</v>
      </c>
      <c r="L135" s="136">
        <v>3442008.36</v>
      </c>
      <c r="M135" s="136">
        <v>2994090.0100000002</v>
      </c>
      <c r="N135" s="136">
        <v>586526.1</v>
      </c>
      <c r="O135" s="136">
        <v>385761.2</v>
      </c>
      <c r="P135" s="178">
        <f>SUM(Ikärakenne[[#This Row],[Ikä 0–5]:[Ikä 18-64]])</f>
        <v>10088551.629999999</v>
      </c>
    </row>
    <row r="136" spans="1:16">
      <c r="A136" s="127">
        <v>423</v>
      </c>
      <c r="B136" s="124" t="s">
        <v>141</v>
      </c>
      <c r="C136" s="38">
        <f>SUM(Ikärakenne[[#This Row],[0–5-vuotiaat]:[16 vuotta täyttäneet]])</f>
        <v>20637</v>
      </c>
      <c r="D136" s="41">
        <v>1271</v>
      </c>
      <c r="E136" s="41">
        <v>250</v>
      </c>
      <c r="F136" s="41">
        <v>1765</v>
      </c>
      <c r="G136" s="41">
        <v>879</v>
      </c>
      <c r="H136" s="41">
        <v>16472</v>
      </c>
      <c r="I136" s="41">
        <v>11696</v>
      </c>
      <c r="J136" s="136">
        <v>10370381.33</v>
      </c>
      <c r="K136" s="136">
        <v>2164440</v>
      </c>
      <c r="L136" s="136">
        <v>12762909.149999999</v>
      </c>
      <c r="M136" s="136">
        <v>10920353.190000001</v>
      </c>
      <c r="N136" s="136">
        <v>1051737.2</v>
      </c>
      <c r="O136" s="136">
        <v>939188.79999999993</v>
      </c>
      <c r="P136" s="178">
        <f>SUM(Ikärakenne[[#This Row],[Ikä 0–5]:[Ikä 18-64]])</f>
        <v>38209009.670000002</v>
      </c>
    </row>
    <row r="137" spans="1:16">
      <c r="A137" s="124">
        <v>425</v>
      </c>
      <c r="B137" s="124" t="s">
        <v>142</v>
      </c>
      <c r="C137" s="38">
        <f>SUM(Ikärakenne[[#This Row],[0–5-vuotiaat]:[16 vuotta täyttäneet]])</f>
        <v>10256</v>
      </c>
      <c r="D137" s="38">
        <v>949</v>
      </c>
      <c r="E137" s="38">
        <v>195</v>
      </c>
      <c r="F137" s="38">
        <v>1381</v>
      </c>
      <c r="G137" s="38">
        <v>721</v>
      </c>
      <c r="H137" s="38">
        <v>7010</v>
      </c>
      <c r="I137" s="41">
        <v>5376</v>
      </c>
      <c r="J137" s="136">
        <v>7743109.2699999996</v>
      </c>
      <c r="K137" s="136">
        <v>1688263.2</v>
      </c>
      <c r="L137" s="136">
        <v>9986162.9100000001</v>
      </c>
      <c r="M137" s="136">
        <v>8957422.8100000005</v>
      </c>
      <c r="N137" s="136">
        <v>447588.5</v>
      </c>
      <c r="O137" s="136">
        <v>431692.79999999999</v>
      </c>
      <c r="P137" s="178">
        <f>SUM(Ikärakenne[[#This Row],[Ikä 0–5]:[Ikä 18-64]])</f>
        <v>29254239.489999998</v>
      </c>
    </row>
    <row r="138" spans="1:16">
      <c r="A138" s="127">
        <v>426</v>
      </c>
      <c r="B138" s="124" t="s">
        <v>143</v>
      </c>
      <c r="C138" s="38">
        <f>SUM(Ikärakenne[[#This Row],[0–5-vuotiaat]:[16 vuotta täyttäneet]])</f>
        <v>11969</v>
      </c>
      <c r="D138" s="41">
        <v>650</v>
      </c>
      <c r="E138" s="41">
        <v>132</v>
      </c>
      <c r="F138" s="41">
        <v>961</v>
      </c>
      <c r="G138" s="41">
        <v>497</v>
      </c>
      <c r="H138" s="41">
        <v>9729</v>
      </c>
      <c r="I138" s="41">
        <v>6557</v>
      </c>
      <c r="J138" s="136">
        <v>5303499.5</v>
      </c>
      <c r="K138" s="136">
        <v>1142824.32</v>
      </c>
      <c r="L138" s="136">
        <v>6949096.71</v>
      </c>
      <c r="M138" s="136">
        <v>6174534.1699999999</v>
      </c>
      <c r="N138" s="136">
        <v>621196.65</v>
      </c>
      <c r="O138" s="136">
        <v>526527.1</v>
      </c>
      <c r="P138" s="178">
        <f>SUM(Ikärakenne[[#This Row],[Ikä 0–5]:[Ikä 18-64]])</f>
        <v>20717678.450000003</v>
      </c>
    </row>
    <row r="139" spans="1:16">
      <c r="A139" s="127">
        <v>430</v>
      </c>
      <c r="B139" s="124" t="s">
        <v>144</v>
      </c>
      <c r="C139" s="38">
        <f>SUM(Ikärakenne[[#This Row],[0–5-vuotiaat]:[16 vuotta täyttäneet]])</f>
        <v>15420</v>
      </c>
      <c r="D139" s="41">
        <v>641</v>
      </c>
      <c r="E139" s="41">
        <v>147</v>
      </c>
      <c r="F139" s="41">
        <v>891</v>
      </c>
      <c r="G139" s="41">
        <v>503</v>
      </c>
      <c r="H139" s="41">
        <v>13238</v>
      </c>
      <c r="I139" s="41">
        <v>7863</v>
      </c>
      <c r="J139" s="136">
        <v>5230066.43</v>
      </c>
      <c r="K139" s="136">
        <v>1272690.72</v>
      </c>
      <c r="L139" s="136">
        <v>6442919.0099999998</v>
      </c>
      <c r="M139" s="136">
        <v>6249075.8300000001</v>
      </c>
      <c r="N139" s="136">
        <v>845246.3</v>
      </c>
      <c r="O139" s="136">
        <v>631398.9</v>
      </c>
      <c r="P139" s="178">
        <f>SUM(Ikärakenne[[#This Row],[Ikä 0–5]:[Ikä 18-64]])</f>
        <v>20671397.190000001</v>
      </c>
    </row>
    <row r="140" spans="1:16">
      <c r="A140" s="127">
        <v>433</v>
      </c>
      <c r="B140" s="124" t="s">
        <v>145</v>
      </c>
      <c r="C140" s="38">
        <f>SUM(Ikärakenne[[#This Row],[0–5-vuotiaat]:[16 vuotta täyttäneet]])</f>
        <v>7692</v>
      </c>
      <c r="D140" s="41">
        <v>347</v>
      </c>
      <c r="E140" s="41">
        <v>78</v>
      </c>
      <c r="F140" s="41">
        <v>515</v>
      </c>
      <c r="G140" s="41">
        <v>309</v>
      </c>
      <c r="H140" s="41">
        <v>6443</v>
      </c>
      <c r="I140" s="41">
        <v>4142</v>
      </c>
      <c r="J140" s="136">
        <v>2831252.81</v>
      </c>
      <c r="K140" s="136">
        <v>675305.28</v>
      </c>
      <c r="L140" s="136">
        <v>3724021.65</v>
      </c>
      <c r="M140" s="136">
        <v>3838895.49</v>
      </c>
      <c r="N140" s="136">
        <v>411385.55</v>
      </c>
      <c r="O140" s="136">
        <v>332602.59999999998</v>
      </c>
      <c r="P140" s="178">
        <f>SUM(Ikärakenne[[#This Row],[Ikä 0–5]:[Ikä 18-64]])</f>
        <v>11813463.380000001</v>
      </c>
    </row>
    <row r="141" spans="1:16">
      <c r="A141" s="127">
        <v>434</v>
      </c>
      <c r="B141" s="124" t="s">
        <v>146</v>
      </c>
      <c r="C141" s="38">
        <f>SUM(Ikärakenne[[#This Row],[0–5-vuotiaat]:[16 vuotta täyttäneet]])</f>
        <v>14458</v>
      </c>
      <c r="D141" s="41">
        <v>577</v>
      </c>
      <c r="E141" s="41">
        <v>119</v>
      </c>
      <c r="F141" s="41">
        <v>867</v>
      </c>
      <c r="G141" s="41">
        <v>442</v>
      </c>
      <c r="H141" s="41">
        <v>12453</v>
      </c>
      <c r="I141" s="41">
        <v>7668</v>
      </c>
      <c r="J141" s="136">
        <v>4707875.71</v>
      </c>
      <c r="K141" s="136">
        <v>1030273.4400000001</v>
      </c>
      <c r="L141" s="136">
        <v>6269372.3700000001</v>
      </c>
      <c r="M141" s="136">
        <v>5491235.6200000001</v>
      </c>
      <c r="N141" s="136">
        <v>795124.05</v>
      </c>
      <c r="O141" s="136">
        <v>615740.4</v>
      </c>
      <c r="P141" s="178">
        <f>SUM(Ikärakenne[[#This Row],[Ikä 0–5]:[Ikä 18-64]])</f>
        <v>18909621.59</v>
      </c>
    </row>
    <row r="142" spans="1:16">
      <c r="A142" s="127">
        <v>435</v>
      </c>
      <c r="B142" s="124" t="s">
        <v>147</v>
      </c>
      <c r="C142" s="38">
        <f>SUM(Ikärakenne[[#This Row],[0–5-vuotiaat]:[16 vuotta täyttäneet]])</f>
        <v>702</v>
      </c>
      <c r="D142" s="41">
        <v>13</v>
      </c>
      <c r="E142" s="41">
        <v>3</v>
      </c>
      <c r="F142" s="41">
        <v>34</v>
      </c>
      <c r="G142" s="41">
        <v>16</v>
      </c>
      <c r="H142" s="41">
        <v>636</v>
      </c>
      <c r="I142" s="41">
        <v>327</v>
      </c>
      <c r="J142" s="136">
        <v>106069.98999999999</v>
      </c>
      <c r="K142" s="136">
        <v>25973.279999999999</v>
      </c>
      <c r="L142" s="136">
        <v>245857.74</v>
      </c>
      <c r="M142" s="136">
        <v>198777.76</v>
      </c>
      <c r="N142" s="136">
        <v>40608.6</v>
      </c>
      <c r="O142" s="136">
        <v>26258.1</v>
      </c>
      <c r="P142" s="178">
        <f>SUM(Ikärakenne[[#This Row],[Ikä 0–5]:[Ikä 18-64]])</f>
        <v>643545.47</v>
      </c>
    </row>
    <row r="143" spans="1:16">
      <c r="A143" s="127">
        <v>436</v>
      </c>
      <c r="B143" s="124" t="s">
        <v>148</v>
      </c>
      <c r="C143" s="38">
        <f>SUM(Ikärakenne[[#This Row],[0–5-vuotiaat]:[16 vuotta täyttäneet]])</f>
        <v>2033</v>
      </c>
      <c r="D143" s="41">
        <v>146</v>
      </c>
      <c r="E143" s="41">
        <v>21</v>
      </c>
      <c r="F143" s="41">
        <v>223</v>
      </c>
      <c r="G143" s="41">
        <v>132</v>
      </c>
      <c r="H143" s="41">
        <v>1511</v>
      </c>
      <c r="I143" s="41">
        <v>1023</v>
      </c>
      <c r="J143" s="136">
        <v>1191247.5799999998</v>
      </c>
      <c r="K143" s="136">
        <v>181812.96</v>
      </c>
      <c r="L143" s="136">
        <v>1612537.53</v>
      </c>
      <c r="M143" s="136">
        <v>1639916.52</v>
      </c>
      <c r="N143" s="136">
        <v>96477.35</v>
      </c>
      <c r="O143" s="136">
        <v>82146.899999999994</v>
      </c>
      <c r="P143" s="178">
        <f>SUM(Ikärakenne[[#This Row],[Ikä 0–5]:[Ikä 18-64]])</f>
        <v>4804138.84</v>
      </c>
    </row>
    <row r="144" spans="1:16">
      <c r="A144" s="127">
        <v>440</v>
      </c>
      <c r="B144" s="124" t="s">
        <v>149</v>
      </c>
      <c r="C144" s="38">
        <f>SUM(Ikärakenne[[#This Row],[0–5-vuotiaat]:[16 vuotta täyttäneet]])</f>
        <v>5843</v>
      </c>
      <c r="D144" s="41">
        <v>730</v>
      </c>
      <c r="E144" s="41">
        <v>106</v>
      </c>
      <c r="F144" s="41">
        <v>681</v>
      </c>
      <c r="G144" s="41">
        <v>311</v>
      </c>
      <c r="H144" s="41">
        <v>4015</v>
      </c>
      <c r="I144" s="41">
        <v>2978</v>
      </c>
      <c r="J144" s="136">
        <v>5956237.8999999994</v>
      </c>
      <c r="K144" s="136">
        <v>917722.56</v>
      </c>
      <c r="L144" s="136">
        <v>4924385.91</v>
      </c>
      <c r="M144" s="136">
        <v>3863742.71</v>
      </c>
      <c r="N144" s="136">
        <v>256357.75</v>
      </c>
      <c r="O144" s="136">
        <v>239133.4</v>
      </c>
      <c r="P144" s="178">
        <f>SUM(Ikärakenne[[#This Row],[Ikä 0–5]:[Ikä 18-64]])</f>
        <v>16157580.229999999</v>
      </c>
    </row>
    <row r="145" spans="1:16">
      <c r="A145" s="127">
        <v>441</v>
      </c>
      <c r="B145" s="124" t="s">
        <v>150</v>
      </c>
      <c r="C145" s="38">
        <f>SUM(Ikärakenne[[#This Row],[0–5-vuotiaat]:[16 vuotta täyttäneet]])</f>
        <v>4396</v>
      </c>
      <c r="D145" s="41">
        <v>152</v>
      </c>
      <c r="E145" s="41">
        <v>36</v>
      </c>
      <c r="F145" s="41">
        <v>222</v>
      </c>
      <c r="G145" s="41">
        <v>136</v>
      </c>
      <c r="H145" s="41">
        <v>3850</v>
      </c>
      <c r="I145" s="41">
        <v>2173</v>
      </c>
      <c r="J145" s="136">
        <v>1240202.96</v>
      </c>
      <c r="K145" s="136">
        <v>311679.35999999999</v>
      </c>
      <c r="L145" s="136">
        <v>1605306.42</v>
      </c>
      <c r="M145" s="136">
        <v>1689610.96</v>
      </c>
      <c r="N145" s="136">
        <v>245822.5</v>
      </c>
      <c r="O145" s="136">
        <v>174491.9</v>
      </c>
      <c r="P145" s="178">
        <f>SUM(Ikärakenne[[#This Row],[Ikä 0–5]:[Ikä 18-64]])</f>
        <v>5267114.0999999996</v>
      </c>
    </row>
    <row r="146" spans="1:16">
      <c r="A146" s="127">
        <v>444</v>
      </c>
      <c r="B146" s="124" t="s">
        <v>151</v>
      </c>
      <c r="C146" s="38">
        <f>SUM(Ikärakenne[[#This Row],[0–5-vuotiaat]:[16 vuotta täyttäneet]])</f>
        <v>45645</v>
      </c>
      <c r="D146" s="41">
        <v>2022</v>
      </c>
      <c r="E146" s="41">
        <v>413</v>
      </c>
      <c r="F146" s="41">
        <v>3065</v>
      </c>
      <c r="G146" s="41">
        <v>1725</v>
      </c>
      <c r="H146" s="41">
        <v>38420</v>
      </c>
      <c r="I146" s="41">
        <v>25260</v>
      </c>
      <c r="J146" s="136">
        <v>16497963.059999999</v>
      </c>
      <c r="K146" s="136">
        <v>3575654.88</v>
      </c>
      <c r="L146" s="136">
        <v>22163352.149999999</v>
      </c>
      <c r="M146" s="136">
        <v>21430727.25</v>
      </c>
      <c r="N146" s="136">
        <v>2453117</v>
      </c>
      <c r="O146" s="136">
        <v>2028378</v>
      </c>
      <c r="P146" s="178">
        <f>SUM(Ikärakenne[[#This Row],[Ikä 0–5]:[Ikä 18-64]])</f>
        <v>68149192.340000004</v>
      </c>
    </row>
    <row r="147" spans="1:16">
      <c r="A147" s="127">
        <v>445</v>
      </c>
      <c r="B147" s="124" t="s">
        <v>152</v>
      </c>
      <c r="C147" s="38">
        <f>SUM(Ikärakenne[[#This Row],[0–5-vuotiaat]:[16 vuotta täyttäneet]])</f>
        <v>14999</v>
      </c>
      <c r="D147" s="41">
        <v>655</v>
      </c>
      <c r="E147" s="41">
        <v>140</v>
      </c>
      <c r="F147" s="41">
        <v>997</v>
      </c>
      <c r="G147" s="41">
        <v>550</v>
      </c>
      <c r="H147" s="41">
        <v>12657</v>
      </c>
      <c r="I147" s="41">
        <v>7877</v>
      </c>
      <c r="J147" s="136">
        <v>5344295.6499999994</v>
      </c>
      <c r="K147" s="136">
        <v>1212086.4000000001</v>
      </c>
      <c r="L147" s="136">
        <v>7209416.6699999999</v>
      </c>
      <c r="M147" s="136">
        <v>6832985.5</v>
      </c>
      <c r="N147" s="136">
        <v>808149.45000000007</v>
      </c>
      <c r="O147" s="136">
        <v>632523.1</v>
      </c>
      <c r="P147" s="178">
        <f>SUM(Ikärakenne[[#This Row],[Ikä 0–5]:[Ikä 18-64]])</f>
        <v>22039456.77</v>
      </c>
    </row>
    <row r="148" spans="1:16">
      <c r="A148" s="127">
        <v>475</v>
      </c>
      <c r="B148" s="124" t="s">
        <v>153</v>
      </c>
      <c r="C148" s="38">
        <f>SUM(Ikärakenne[[#This Row],[0–5-vuotiaat]:[16 vuotta täyttäneet]])</f>
        <v>5456</v>
      </c>
      <c r="D148" s="41">
        <v>333</v>
      </c>
      <c r="E148" s="41">
        <v>50</v>
      </c>
      <c r="F148" s="41">
        <v>336</v>
      </c>
      <c r="G148" s="41">
        <v>206</v>
      </c>
      <c r="H148" s="41">
        <v>4531</v>
      </c>
      <c r="I148" s="41">
        <v>2823</v>
      </c>
      <c r="J148" s="136">
        <v>2717023.59</v>
      </c>
      <c r="K148" s="136">
        <v>432888</v>
      </c>
      <c r="L148" s="136">
        <v>2429652.96</v>
      </c>
      <c r="M148" s="136">
        <v>2559263.66</v>
      </c>
      <c r="N148" s="136">
        <v>289304.35000000003</v>
      </c>
      <c r="O148" s="136">
        <v>226686.9</v>
      </c>
      <c r="P148" s="178">
        <f>SUM(Ikärakenne[[#This Row],[Ikä 0–5]:[Ikä 18-64]])</f>
        <v>8654819.4600000009</v>
      </c>
    </row>
    <row r="149" spans="1:16">
      <c r="A149" s="127">
        <v>480</v>
      </c>
      <c r="B149" s="124" t="s">
        <v>154</v>
      </c>
      <c r="C149" s="38">
        <f>SUM(Ikärakenne[[#This Row],[0–5-vuotiaat]:[16 vuotta täyttäneet]])</f>
        <v>1930</v>
      </c>
      <c r="D149" s="41">
        <v>94</v>
      </c>
      <c r="E149" s="41">
        <v>15</v>
      </c>
      <c r="F149" s="41">
        <v>144</v>
      </c>
      <c r="G149" s="41">
        <v>71</v>
      </c>
      <c r="H149" s="41">
        <v>1606</v>
      </c>
      <c r="I149" s="41">
        <v>1010</v>
      </c>
      <c r="J149" s="136">
        <v>766967.62</v>
      </c>
      <c r="K149" s="136">
        <v>129866.40000000001</v>
      </c>
      <c r="L149" s="136">
        <v>1041279.84</v>
      </c>
      <c r="M149" s="136">
        <v>882076.31</v>
      </c>
      <c r="N149" s="136">
        <v>102543.1</v>
      </c>
      <c r="O149" s="136">
        <v>81103</v>
      </c>
      <c r="P149" s="178">
        <f>SUM(Ikärakenne[[#This Row],[Ikä 0–5]:[Ikä 18-64]])</f>
        <v>3003836.27</v>
      </c>
    </row>
    <row r="150" spans="1:16">
      <c r="A150" s="127">
        <v>481</v>
      </c>
      <c r="B150" s="124" t="s">
        <v>155</v>
      </c>
      <c r="C150" s="38">
        <f>SUM(Ikärakenne[[#This Row],[0–5-vuotiaat]:[16 vuotta täyttäneet]])</f>
        <v>9619</v>
      </c>
      <c r="D150" s="41">
        <v>572</v>
      </c>
      <c r="E150" s="41">
        <v>117</v>
      </c>
      <c r="F150" s="41">
        <v>806</v>
      </c>
      <c r="G150" s="41">
        <v>444</v>
      </c>
      <c r="H150" s="41">
        <v>7680</v>
      </c>
      <c r="I150" s="41">
        <v>5527</v>
      </c>
      <c r="J150" s="136">
        <v>4667079.5599999996</v>
      </c>
      <c r="K150" s="136">
        <v>1012957.92</v>
      </c>
      <c r="L150" s="136">
        <v>5828274.6600000001</v>
      </c>
      <c r="M150" s="136">
        <v>5516082.8399999999</v>
      </c>
      <c r="N150" s="136">
        <v>490368</v>
      </c>
      <c r="O150" s="136">
        <v>443818.1</v>
      </c>
      <c r="P150" s="178">
        <f>SUM(Ikärakenne[[#This Row],[Ikä 0–5]:[Ikä 18-64]])</f>
        <v>17958581.080000002</v>
      </c>
    </row>
    <row r="151" spans="1:16">
      <c r="A151" s="127">
        <v>483</v>
      </c>
      <c r="B151" s="124" t="s">
        <v>156</v>
      </c>
      <c r="C151" s="38">
        <f>SUM(Ikärakenne[[#This Row],[0–5-vuotiaat]:[16 vuotta täyttäneet]])</f>
        <v>1055</v>
      </c>
      <c r="D151" s="41">
        <v>94</v>
      </c>
      <c r="E151" s="41">
        <v>21</v>
      </c>
      <c r="F151" s="41">
        <v>126</v>
      </c>
      <c r="G151" s="41">
        <v>38</v>
      </c>
      <c r="H151" s="41">
        <v>776</v>
      </c>
      <c r="I151" s="41">
        <v>476</v>
      </c>
      <c r="J151" s="136">
        <v>766967.62</v>
      </c>
      <c r="K151" s="136">
        <v>181812.96</v>
      </c>
      <c r="L151" s="136">
        <v>911119.86</v>
      </c>
      <c r="M151" s="136">
        <v>472097.18000000005</v>
      </c>
      <c r="N151" s="136">
        <v>49547.6</v>
      </c>
      <c r="O151" s="136">
        <v>38222.799999999996</v>
      </c>
      <c r="P151" s="178">
        <f>SUM(Ikärakenne[[#This Row],[Ikä 0–5]:[Ikä 18-64]])</f>
        <v>2419768.02</v>
      </c>
    </row>
    <row r="152" spans="1:16">
      <c r="A152" s="127">
        <v>484</v>
      </c>
      <c r="B152" s="124" t="s">
        <v>157</v>
      </c>
      <c r="C152" s="38">
        <f>SUM(Ikärakenne[[#This Row],[0–5-vuotiaat]:[16 vuotta täyttäneet]])</f>
        <v>2966</v>
      </c>
      <c r="D152" s="41">
        <v>139</v>
      </c>
      <c r="E152" s="41">
        <v>33</v>
      </c>
      <c r="F152" s="41">
        <v>210</v>
      </c>
      <c r="G152" s="41">
        <v>84</v>
      </c>
      <c r="H152" s="41">
        <v>2500</v>
      </c>
      <c r="I152" s="41">
        <v>1364</v>
      </c>
      <c r="J152" s="136">
        <v>1134132.97</v>
      </c>
      <c r="K152" s="136">
        <v>285706.08</v>
      </c>
      <c r="L152" s="136">
        <v>1518533.0999999999</v>
      </c>
      <c r="M152" s="136">
        <v>1043583.24</v>
      </c>
      <c r="N152" s="136">
        <v>159625</v>
      </c>
      <c r="O152" s="136">
        <v>109529.2</v>
      </c>
      <c r="P152" s="178">
        <f>SUM(Ikärakenne[[#This Row],[Ikä 0–5]:[Ikä 18-64]])</f>
        <v>4251109.59</v>
      </c>
    </row>
    <row r="153" spans="1:16">
      <c r="A153" s="127">
        <v>489</v>
      </c>
      <c r="B153" s="124" t="s">
        <v>158</v>
      </c>
      <c r="C153" s="38">
        <f>SUM(Ikärakenne[[#This Row],[0–5-vuotiaat]:[16 vuotta täyttäneet]])</f>
        <v>1752</v>
      </c>
      <c r="D153" s="41">
        <v>46</v>
      </c>
      <c r="E153" s="41">
        <v>8</v>
      </c>
      <c r="F153" s="41">
        <v>72</v>
      </c>
      <c r="G153" s="41">
        <v>47</v>
      </c>
      <c r="H153" s="41">
        <v>1579</v>
      </c>
      <c r="I153" s="41">
        <v>862</v>
      </c>
      <c r="J153" s="136">
        <v>375324.57999999996</v>
      </c>
      <c r="K153" s="136">
        <v>69262.080000000002</v>
      </c>
      <c r="L153" s="136">
        <v>520639.92</v>
      </c>
      <c r="M153" s="136">
        <v>583909.67000000004</v>
      </c>
      <c r="N153" s="136">
        <v>100819.15000000001</v>
      </c>
      <c r="O153" s="136">
        <v>69218.599999999991</v>
      </c>
      <c r="P153" s="178">
        <f>SUM(Ikärakenne[[#This Row],[Ikä 0–5]:[Ikä 18-64]])</f>
        <v>1719174</v>
      </c>
    </row>
    <row r="154" spans="1:16">
      <c r="A154" s="127">
        <v>491</v>
      </c>
      <c r="B154" s="124" t="s">
        <v>159</v>
      </c>
      <c r="C154" s="38">
        <f>SUM(Ikärakenne[[#This Row],[0–5-vuotiaat]:[16 vuotta täyttäneet]])</f>
        <v>51919</v>
      </c>
      <c r="D154" s="41">
        <v>2281</v>
      </c>
      <c r="E154" s="41">
        <v>446</v>
      </c>
      <c r="F154" s="41">
        <v>3104</v>
      </c>
      <c r="G154" s="41">
        <v>1625</v>
      </c>
      <c r="H154" s="41">
        <v>44463</v>
      </c>
      <c r="I154" s="41">
        <v>28541</v>
      </c>
      <c r="J154" s="136">
        <v>18611203.629999999</v>
      </c>
      <c r="K154" s="136">
        <v>3861360.96</v>
      </c>
      <c r="L154" s="136">
        <v>22445365.439999998</v>
      </c>
      <c r="M154" s="136">
        <v>20188366.25</v>
      </c>
      <c r="N154" s="136">
        <v>2838962.5500000003</v>
      </c>
      <c r="O154" s="136">
        <v>2291842.2999999998</v>
      </c>
      <c r="P154" s="178">
        <f>SUM(Ikärakenne[[#This Row],[Ikä 0–5]:[Ikä 18-64]])</f>
        <v>70237101.129999995</v>
      </c>
    </row>
    <row r="155" spans="1:16">
      <c r="A155" s="127">
        <v>494</v>
      </c>
      <c r="B155" s="124" t="s">
        <v>160</v>
      </c>
      <c r="C155" s="38">
        <f>SUM(Ikärakenne[[#This Row],[0–5-vuotiaat]:[16 vuotta täyttäneet]])</f>
        <v>8827</v>
      </c>
      <c r="D155" s="41">
        <v>622</v>
      </c>
      <c r="E155" s="41">
        <v>135</v>
      </c>
      <c r="F155" s="41">
        <v>876</v>
      </c>
      <c r="G155" s="41">
        <v>456</v>
      </c>
      <c r="H155" s="41">
        <v>6738</v>
      </c>
      <c r="I155" s="41">
        <v>4676</v>
      </c>
      <c r="J155" s="136">
        <v>5075041.0599999996</v>
      </c>
      <c r="K155" s="136">
        <v>1168797.6000000001</v>
      </c>
      <c r="L155" s="136">
        <v>6334452.3599999994</v>
      </c>
      <c r="M155" s="136">
        <v>5665166.1600000001</v>
      </c>
      <c r="N155" s="136">
        <v>430221.3</v>
      </c>
      <c r="O155" s="136">
        <v>375482.8</v>
      </c>
      <c r="P155" s="178">
        <f>SUM(Ikärakenne[[#This Row],[Ikä 0–5]:[Ikä 18-64]])</f>
        <v>19049161.280000001</v>
      </c>
    </row>
    <row r="156" spans="1:16">
      <c r="A156" s="127">
        <v>495</v>
      </c>
      <c r="B156" s="124" t="s">
        <v>161</v>
      </c>
      <c r="C156" s="38">
        <f>SUM(Ikärakenne[[#This Row],[0–5-vuotiaat]:[16 vuotta täyttäneet]])</f>
        <v>1430</v>
      </c>
      <c r="D156" s="41">
        <v>55</v>
      </c>
      <c r="E156" s="41">
        <v>13</v>
      </c>
      <c r="F156" s="41">
        <v>76</v>
      </c>
      <c r="G156" s="41">
        <v>54</v>
      </c>
      <c r="H156" s="41">
        <v>1232</v>
      </c>
      <c r="I156" s="41">
        <v>644</v>
      </c>
      <c r="J156" s="136">
        <v>448757.64999999997</v>
      </c>
      <c r="K156" s="136">
        <v>112550.88</v>
      </c>
      <c r="L156" s="136">
        <v>549564.36</v>
      </c>
      <c r="M156" s="136">
        <v>670874.94000000006</v>
      </c>
      <c r="N156" s="136">
        <v>78663.199999999997</v>
      </c>
      <c r="O156" s="136">
        <v>51713.2</v>
      </c>
      <c r="P156" s="178">
        <f>SUM(Ikärakenne[[#This Row],[Ikä 0–5]:[Ikä 18-64]])</f>
        <v>1912124.23</v>
      </c>
    </row>
    <row r="157" spans="1:16">
      <c r="A157" s="127">
        <v>498</v>
      </c>
      <c r="B157" s="124" t="s">
        <v>162</v>
      </c>
      <c r="C157" s="38">
        <f>SUM(Ikärakenne[[#This Row],[0–5-vuotiaat]:[16 vuotta täyttäneet]])</f>
        <v>2325</v>
      </c>
      <c r="D157" s="41">
        <v>105</v>
      </c>
      <c r="E157" s="41">
        <v>23</v>
      </c>
      <c r="F157" s="41">
        <v>148</v>
      </c>
      <c r="G157" s="41">
        <v>93</v>
      </c>
      <c r="H157" s="41">
        <v>1956</v>
      </c>
      <c r="I157" s="41">
        <v>1261</v>
      </c>
      <c r="J157" s="136">
        <v>856719.14999999991</v>
      </c>
      <c r="K157" s="136">
        <v>199128.48</v>
      </c>
      <c r="L157" s="136">
        <v>1070204.28</v>
      </c>
      <c r="M157" s="136">
        <v>1155395.73</v>
      </c>
      <c r="N157" s="136">
        <v>124890.6</v>
      </c>
      <c r="O157" s="136">
        <v>101258.3</v>
      </c>
      <c r="P157" s="178">
        <f>SUM(Ikärakenne[[#This Row],[Ikä 0–5]:[Ikä 18-64]])</f>
        <v>3507596.54</v>
      </c>
    </row>
    <row r="158" spans="1:16">
      <c r="A158" s="127">
        <v>499</v>
      </c>
      <c r="B158" s="124" t="s">
        <v>163</v>
      </c>
      <c r="C158" s="38">
        <f>SUM(Ikärakenne[[#This Row],[0–5-vuotiaat]:[16 vuotta täyttäneet]])</f>
        <v>19763</v>
      </c>
      <c r="D158" s="41">
        <v>1270</v>
      </c>
      <c r="E158" s="41">
        <v>241</v>
      </c>
      <c r="F158" s="41">
        <v>1656</v>
      </c>
      <c r="G158" s="41">
        <v>804</v>
      </c>
      <c r="H158" s="41">
        <v>15792</v>
      </c>
      <c r="I158" s="41">
        <v>10730</v>
      </c>
      <c r="J158" s="136">
        <v>10362222.1</v>
      </c>
      <c r="K158" s="136">
        <v>2086520.1600000001</v>
      </c>
      <c r="L158" s="136">
        <v>11974718.16</v>
      </c>
      <c r="M158" s="136">
        <v>9988582.4400000013</v>
      </c>
      <c r="N158" s="136">
        <v>1008319.2000000001</v>
      </c>
      <c r="O158" s="136">
        <v>861619</v>
      </c>
      <c r="P158" s="178">
        <f>SUM(Ikärakenne[[#This Row],[Ikä 0–5]:[Ikä 18-64]])</f>
        <v>36281981.060000002</v>
      </c>
    </row>
    <row r="159" spans="1:16">
      <c r="A159" s="127">
        <v>500</v>
      </c>
      <c r="B159" s="124" t="s">
        <v>164</v>
      </c>
      <c r="C159" s="38">
        <f>SUM(Ikärakenne[[#This Row],[0–5-vuotiaat]:[16 vuotta täyttäneet]])</f>
        <v>10551</v>
      </c>
      <c r="D159" s="41">
        <v>668</v>
      </c>
      <c r="E159" s="41">
        <v>138</v>
      </c>
      <c r="F159" s="41">
        <v>1021</v>
      </c>
      <c r="G159" s="41">
        <v>498</v>
      </c>
      <c r="H159" s="41">
        <v>8226</v>
      </c>
      <c r="I159" s="41">
        <v>5800</v>
      </c>
      <c r="J159" s="136">
        <v>5450365.6399999997</v>
      </c>
      <c r="K159" s="136">
        <v>1194770.8800000001</v>
      </c>
      <c r="L159" s="136">
        <v>7382963.3099999996</v>
      </c>
      <c r="M159" s="136">
        <v>6186957.7800000003</v>
      </c>
      <c r="N159" s="136">
        <v>525230.1</v>
      </c>
      <c r="O159" s="136">
        <v>465740</v>
      </c>
      <c r="P159" s="178">
        <f>SUM(Ikärakenne[[#This Row],[Ikä 0–5]:[Ikä 18-64]])</f>
        <v>21206027.710000001</v>
      </c>
    </row>
    <row r="160" spans="1:16">
      <c r="A160" s="127">
        <v>503</v>
      </c>
      <c r="B160" s="124" t="s">
        <v>165</v>
      </c>
      <c r="C160" s="38">
        <f>SUM(Ikärakenne[[#This Row],[0–5-vuotiaat]:[16 vuotta täyttäneet]])</f>
        <v>7515</v>
      </c>
      <c r="D160" s="41">
        <v>389</v>
      </c>
      <c r="E160" s="41">
        <v>76</v>
      </c>
      <c r="F160" s="41">
        <v>471</v>
      </c>
      <c r="G160" s="41">
        <v>266</v>
      </c>
      <c r="H160" s="41">
        <v>6313</v>
      </c>
      <c r="I160" s="41">
        <v>4018</v>
      </c>
      <c r="J160" s="136">
        <v>3173940.4699999997</v>
      </c>
      <c r="K160" s="136">
        <v>657989.76</v>
      </c>
      <c r="L160" s="136">
        <v>3405852.81</v>
      </c>
      <c r="M160" s="136">
        <v>3304680.2600000002</v>
      </c>
      <c r="N160" s="136">
        <v>403085.05</v>
      </c>
      <c r="O160" s="136">
        <v>322645.39999999997</v>
      </c>
      <c r="P160" s="178">
        <f>SUM(Ikärakenne[[#This Row],[Ikä 0–5]:[Ikä 18-64]])</f>
        <v>11268193.75</v>
      </c>
    </row>
    <row r="161" spans="1:16">
      <c r="A161" s="127">
        <v>504</v>
      </c>
      <c r="B161" s="124" t="s">
        <v>166</v>
      </c>
      <c r="C161" s="38">
        <f>SUM(Ikärakenne[[#This Row],[0–5-vuotiaat]:[16 vuotta täyttäneet]])</f>
        <v>1715</v>
      </c>
      <c r="D161" s="41">
        <v>69</v>
      </c>
      <c r="E161" s="41">
        <v>12</v>
      </c>
      <c r="F161" s="41">
        <v>113</v>
      </c>
      <c r="G161" s="41">
        <v>62</v>
      </c>
      <c r="H161" s="41">
        <v>1459</v>
      </c>
      <c r="I161" s="41">
        <v>889</v>
      </c>
      <c r="J161" s="136">
        <v>562986.87</v>
      </c>
      <c r="K161" s="136">
        <v>103893.12</v>
      </c>
      <c r="L161" s="136">
        <v>817115.42999999993</v>
      </c>
      <c r="M161" s="136">
        <v>770263.82000000007</v>
      </c>
      <c r="N161" s="136">
        <v>93157.150000000009</v>
      </c>
      <c r="O161" s="136">
        <v>71386.7</v>
      </c>
      <c r="P161" s="178">
        <f>SUM(Ikärakenne[[#This Row],[Ikä 0–5]:[Ikä 18-64]])</f>
        <v>2418803.0900000003</v>
      </c>
    </row>
    <row r="162" spans="1:16">
      <c r="A162" s="127">
        <v>505</v>
      </c>
      <c r="B162" s="124" t="s">
        <v>167</v>
      </c>
      <c r="C162" s="38">
        <f>SUM(Ikärakenne[[#This Row],[0–5-vuotiaat]:[16 vuotta täyttäneet]])</f>
        <v>20957</v>
      </c>
      <c r="D162" s="41">
        <v>1155</v>
      </c>
      <c r="E162" s="41">
        <v>232</v>
      </c>
      <c r="F162" s="41">
        <v>1714</v>
      </c>
      <c r="G162" s="41">
        <v>973</v>
      </c>
      <c r="H162" s="41">
        <v>16883</v>
      </c>
      <c r="I162" s="41">
        <v>11920</v>
      </c>
      <c r="J162" s="136">
        <v>9423910.6500000004</v>
      </c>
      <c r="K162" s="136">
        <v>2008600.32</v>
      </c>
      <c r="L162" s="136">
        <v>12394122.539999999</v>
      </c>
      <c r="M162" s="136">
        <v>12088172.530000001</v>
      </c>
      <c r="N162" s="136">
        <v>1077979.55</v>
      </c>
      <c r="O162" s="136">
        <v>957176</v>
      </c>
      <c r="P162" s="178">
        <f>SUM(Ikärakenne[[#This Row],[Ikä 0–5]:[Ikä 18-64]])</f>
        <v>37949961.589999996</v>
      </c>
    </row>
    <row r="163" spans="1:16">
      <c r="A163" s="127">
        <v>507</v>
      </c>
      <c r="B163" s="124" t="s">
        <v>168</v>
      </c>
      <c r="C163" s="38">
        <f>SUM(Ikärakenne[[#This Row],[0–5-vuotiaat]:[16 vuotta täyttäneet]])</f>
        <v>5522</v>
      </c>
      <c r="D163" s="41">
        <v>169</v>
      </c>
      <c r="E163" s="41">
        <v>35</v>
      </c>
      <c r="F163" s="41">
        <v>274</v>
      </c>
      <c r="G163" s="41">
        <v>168</v>
      </c>
      <c r="H163" s="41">
        <v>4876</v>
      </c>
      <c r="I163" s="41">
        <v>2635</v>
      </c>
      <c r="J163" s="136">
        <v>1378909.8699999999</v>
      </c>
      <c r="K163" s="136">
        <v>303021.60000000003</v>
      </c>
      <c r="L163" s="136">
        <v>1981324.14</v>
      </c>
      <c r="M163" s="136">
        <v>2087166.48</v>
      </c>
      <c r="N163" s="136">
        <v>311332.60000000003</v>
      </c>
      <c r="O163" s="136">
        <v>211590.5</v>
      </c>
      <c r="P163" s="178">
        <f>SUM(Ikärakenne[[#This Row],[Ikä 0–5]:[Ikä 18-64]])</f>
        <v>6273345.1899999995</v>
      </c>
    </row>
    <row r="164" spans="1:16">
      <c r="A164" s="127">
        <v>508</v>
      </c>
      <c r="B164" s="124" t="s">
        <v>169</v>
      </c>
      <c r="C164" s="38">
        <f>SUM(Ikärakenne[[#This Row],[0–5-vuotiaat]:[16 vuotta täyttäneet]])</f>
        <v>9271</v>
      </c>
      <c r="D164" s="41">
        <v>309</v>
      </c>
      <c r="E164" s="41">
        <v>61</v>
      </c>
      <c r="F164" s="41">
        <v>475</v>
      </c>
      <c r="G164" s="41">
        <v>269</v>
      </c>
      <c r="H164" s="41">
        <v>8157</v>
      </c>
      <c r="I164" s="41">
        <v>4452</v>
      </c>
      <c r="J164" s="136">
        <v>2521202.0699999998</v>
      </c>
      <c r="K164" s="136">
        <v>528123.36</v>
      </c>
      <c r="L164" s="136">
        <v>3434777.25</v>
      </c>
      <c r="M164" s="136">
        <v>3341951.0900000003</v>
      </c>
      <c r="N164" s="136">
        <v>520824.45</v>
      </c>
      <c r="O164" s="136">
        <v>357495.6</v>
      </c>
      <c r="P164" s="178">
        <f>SUM(Ikärakenne[[#This Row],[Ikä 0–5]:[Ikä 18-64]])</f>
        <v>10704373.819999998</v>
      </c>
    </row>
    <row r="165" spans="1:16">
      <c r="A165" s="127">
        <v>529</v>
      </c>
      <c r="B165" s="124" t="s">
        <v>170</v>
      </c>
      <c r="C165" s="38">
        <f>SUM(Ikärakenne[[#This Row],[0–5-vuotiaat]:[16 vuotta täyttäneet]])</f>
        <v>19999</v>
      </c>
      <c r="D165" s="41">
        <v>981</v>
      </c>
      <c r="E165" s="41">
        <v>179</v>
      </c>
      <c r="F165" s="41">
        <v>1262</v>
      </c>
      <c r="G165" s="41">
        <v>728</v>
      </c>
      <c r="H165" s="41">
        <v>16849</v>
      </c>
      <c r="I165" s="41">
        <v>10792</v>
      </c>
      <c r="J165" s="136">
        <v>8004204.6299999999</v>
      </c>
      <c r="K165" s="136">
        <v>1549739.04</v>
      </c>
      <c r="L165" s="136">
        <v>9125660.8200000003</v>
      </c>
      <c r="M165" s="136">
        <v>9044388.0800000001</v>
      </c>
      <c r="N165" s="136">
        <v>1075808.6500000001</v>
      </c>
      <c r="O165" s="136">
        <v>866597.6</v>
      </c>
      <c r="P165" s="178">
        <f>SUM(Ikärakenne[[#This Row],[Ikä 0–5]:[Ikä 18-64]])</f>
        <v>29666398.82</v>
      </c>
    </row>
    <row r="166" spans="1:16">
      <c r="A166" s="127">
        <v>531</v>
      </c>
      <c r="B166" s="124" t="s">
        <v>171</v>
      </c>
      <c r="C166" s="38">
        <f>SUM(Ikärakenne[[#This Row],[0–5-vuotiaat]:[16 vuotta täyttäneet]])</f>
        <v>4966</v>
      </c>
      <c r="D166" s="41">
        <v>197</v>
      </c>
      <c r="E166" s="41">
        <v>24</v>
      </c>
      <c r="F166" s="41">
        <v>339</v>
      </c>
      <c r="G166" s="41">
        <v>179</v>
      </c>
      <c r="H166" s="41">
        <v>4227</v>
      </c>
      <c r="I166" s="41">
        <v>2587</v>
      </c>
      <c r="J166" s="136">
        <v>1607368.3099999998</v>
      </c>
      <c r="K166" s="136">
        <v>207786.23999999999</v>
      </c>
      <c r="L166" s="136">
        <v>2451346.29</v>
      </c>
      <c r="M166" s="136">
        <v>2223826.19</v>
      </c>
      <c r="N166" s="136">
        <v>269893.95</v>
      </c>
      <c r="O166" s="136">
        <v>207736.1</v>
      </c>
      <c r="P166" s="178">
        <f>SUM(Ikärakenne[[#This Row],[Ikä 0–5]:[Ikä 18-64]])</f>
        <v>6967957.0799999991</v>
      </c>
    </row>
    <row r="167" spans="1:16">
      <c r="A167" s="127">
        <v>535</v>
      </c>
      <c r="B167" s="124" t="s">
        <v>172</v>
      </c>
      <c r="C167" s="38">
        <f>SUM(Ikärakenne[[#This Row],[0–5-vuotiaat]:[16 vuotta täyttäneet]])</f>
        <v>10454</v>
      </c>
      <c r="D167" s="41">
        <v>701</v>
      </c>
      <c r="E167" s="41">
        <v>138</v>
      </c>
      <c r="F167" s="41">
        <v>1013</v>
      </c>
      <c r="G167" s="41">
        <v>553</v>
      </c>
      <c r="H167" s="41">
        <v>8049</v>
      </c>
      <c r="I167" s="41">
        <v>5214</v>
      </c>
      <c r="J167" s="136">
        <v>5719620.2299999995</v>
      </c>
      <c r="K167" s="136">
        <v>1194770.8800000001</v>
      </c>
      <c r="L167" s="136">
        <v>7325114.4299999997</v>
      </c>
      <c r="M167" s="136">
        <v>6870256.3300000001</v>
      </c>
      <c r="N167" s="136">
        <v>513928.65</v>
      </c>
      <c r="O167" s="136">
        <v>418684.2</v>
      </c>
      <c r="P167" s="178">
        <f>SUM(Ikärakenne[[#This Row],[Ikä 0–5]:[Ikä 18-64]])</f>
        <v>22042374.719999995</v>
      </c>
    </row>
    <row r="168" spans="1:16">
      <c r="A168" s="127">
        <v>536</v>
      </c>
      <c r="B168" s="124" t="s">
        <v>173</v>
      </c>
      <c r="C168" s="38">
        <f>SUM(Ikärakenne[[#This Row],[0–5-vuotiaat]:[16 vuotta täyttäneet]])</f>
        <v>35647</v>
      </c>
      <c r="D168" s="41">
        <v>2003</v>
      </c>
      <c r="E168" s="41">
        <v>373</v>
      </c>
      <c r="F168" s="41">
        <v>2690</v>
      </c>
      <c r="G168" s="41">
        <v>1492</v>
      </c>
      <c r="H168" s="41">
        <v>29089</v>
      </c>
      <c r="I168" s="41">
        <v>20527</v>
      </c>
      <c r="J168" s="136">
        <v>16342937.689999999</v>
      </c>
      <c r="K168" s="136">
        <v>3229344.48</v>
      </c>
      <c r="L168" s="136">
        <v>19451685.899999999</v>
      </c>
      <c r="M168" s="136">
        <v>18536026.120000001</v>
      </c>
      <c r="N168" s="136">
        <v>1857332.6500000001</v>
      </c>
      <c r="O168" s="136">
        <v>1648318.0999999999</v>
      </c>
      <c r="P168" s="178">
        <f>SUM(Ikärakenne[[#This Row],[Ikä 0–5]:[Ikä 18-64]])</f>
        <v>61065644.939999998</v>
      </c>
    </row>
    <row r="169" spans="1:16">
      <c r="A169" s="127">
        <v>538</v>
      </c>
      <c r="B169" s="124" t="s">
        <v>174</v>
      </c>
      <c r="C169" s="38">
        <f>SUM(Ikärakenne[[#This Row],[0–5-vuotiaat]:[16 vuotta täyttäneet]])</f>
        <v>4695</v>
      </c>
      <c r="D169" s="41">
        <v>278</v>
      </c>
      <c r="E169" s="41">
        <v>51</v>
      </c>
      <c r="F169" s="41">
        <v>392</v>
      </c>
      <c r="G169" s="41">
        <v>210</v>
      </c>
      <c r="H169" s="41">
        <v>3764</v>
      </c>
      <c r="I169" s="41">
        <v>2631</v>
      </c>
      <c r="J169" s="136">
        <v>2268265.94</v>
      </c>
      <c r="K169" s="136">
        <v>441545.76</v>
      </c>
      <c r="L169" s="136">
        <v>2834595.1199999996</v>
      </c>
      <c r="M169" s="136">
        <v>2608958.1</v>
      </c>
      <c r="N169" s="136">
        <v>240331.4</v>
      </c>
      <c r="O169" s="136">
        <v>211269.3</v>
      </c>
      <c r="P169" s="178">
        <f>SUM(Ikärakenne[[#This Row],[Ikä 0–5]:[Ikä 18-64]])</f>
        <v>8604965.620000001</v>
      </c>
    </row>
    <row r="170" spans="1:16">
      <c r="A170" s="127">
        <v>541</v>
      </c>
      <c r="B170" s="124" t="s">
        <v>175</v>
      </c>
      <c r="C170" s="38">
        <f>SUM(Ikärakenne[[#This Row],[0–5-vuotiaat]:[16 vuotta täyttäneet]])</f>
        <v>9130</v>
      </c>
      <c r="D170" s="41">
        <v>329</v>
      </c>
      <c r="E170" s="41">
        <v>59</v>
      </c>
      <c r="F170" s="41">
        <v>474</v>
      </c>
      <c r="G170" s="41">
        <v>242</v>
      </c>
      <c r="H170" s="41">
        <v>8026</v>
      </c>
      <c r="I170" s="41">
        <v>4397</v>
      </c>
      <c r="J170" s="136">
        <v>2684386.67</v>
      </c>
      <c r="K170" s="136">
        <v>510807.84</v>
      </c>
      <c r="L170" s="136">
        <v>3427546.1399999997</v>
      </c>
      <c r="M170" s="136">
        <v>3006513.62</v>
      </c>
      <c r="N170" s="136">
        <v>512460.10000000003</v>
      </c>
      <c r="O170" s="136">
        <v>353079.1</v>
      </c>
      <c r="P170" s="178">
        <f>SUM(Ikärakenne[[#This Row],[Ikä 0–5]:[Ikä 18-64]])</f>
        <v>10494793.469999999</v>
      </c>
    </row>
    <row r="171" spans="1:16">
      <c r="A171" s="127">
        <v>543</v>
      </c>
      <c r="B171" s="124" t="s">
        <v>176</v>
      </c>
      <c r="C171" s="38">
        <f>SUM(Ikärakenne[[#This Row],[0–5-vuotiaat]:[16 vuotta täyttäneet]])</f>
        <v>44785</v>
      </c>
      <c r="D171" s="41">
        <v>2840</v>
      </c>
      <c r="E171" s="41">
        <v>522</v>
      </c>
      <c r="F171" s="41">
        <v>3744</v>
      </c>
      <c r="G171" s="41">
        <v>2008</v>
      </c>
      <c r="H171" s="41">
        <v>35671</v>
      </c>
      <c r="I171" s="41">
        <v>26341</v>
      </c>
      <c r="J171" s="136">
        <v>23172213.199999999</v>
      </c>
      <c r="K171" s="136">
        <v>4519350.72</v>
      </c>
      <c r="L171" s="136">
        <v>27073275.84</v>
      </c>
      <c r="M171" s="136">
        <v>24946608.880000003</v>
      </c>
      <c r="N171" s="136">
        <v>2277593.35</v>
      </c>
      <c r="O171" s="136">
        <v>2115182.2999999998</v>
      </c>
      <c r="P171" s="178">
        <f>SUM(Ikärakenne[[#This Row],[Ikä 0–5]:[Ikä 18-64]])</f>
        <v>84104224.289999992</v>
      </c>
    </row>
    <row r="172" spans="1:16">
      <c r="A172" s="127">
        <v>545</v>
      </c>
      <c r="B172" s="124" t="s">
        <v>177</v>
      </c>
      <c r="C172" s="38">
        <f>SUM(Ikärakenne[[#This Row],[0–5-vuotiaat]:[16 vuotta täyttäneet]])</f>
        <v>9621</v>
      </c>
      <c r="D172" s="41">
        <v>545</v>
      </c>
      <c r="E172" s="41">
        <v>106</v>
      </c>
      <c r="F172" s="41">
        <v>669</v>
      </c>
      <c r="G172" s="41">
        <v>324</v>
      </c>
      <c r="H172" s="41">
        <v>7977</v>
      </c>
      <c r="I172" s="41">
        <v>5096</v>
      </c>
      <c r="J172" s="136">
        <v>4446780.3499999996</v>
      </c>
      <c r="K172" s="136">
        <v>917722.56</v>
      </c>
      <c r="L172" s="136">
        <v>4837612.59</v>
      </c>
      <c r="M172" s="136">
        <v>4025249.64</v>
      </c>
      <c r="N172" s="136">
        <v>509331.45</v>
      </c>
      <c r="O172" s="136">
        <v>409208.8</v>
      </c>
      <c r="P172" s="178">
        <f>SUM(Ikärakenne[[#This Row],[Ikä 0–5]:[Ikä 18-64]])</f>
        <v>15145905.390000001</v>
      </c>
    </row>
    <row r="173" spans="1:16">
      <c r="A173" s="127">
        <v>560</v>
      </c>
      <c r="B173" s="124" t="s">
        <v>178</v>
      </c>
      <c r="C173" s="38">
        <f>SUM(Ikärakenne[[#This Row],[0–5-vuotiaat]:[16 vuotta täyttäneet]])</f>
        <v>15669</v>
      </c>
      <c r="D173" s="41">
        <v>766</v>
      </c>
      <c r="E173" s="41">
        <v>148</v>
      </c>
      <c r="F173" s="41">
        <v>1121</v>
      </c>
      <c r="G173" s="41">
        <v>620</v>
      </c>
      <c r="H173" s="41">
        <v>13014</v>
      </c>
      <c r="I173" s="41">
        <v>8446</v>
      </c>
      <c r="J173" s="136">
        <v>6249970.1799999997</v>
      </c>
      <c r="K173" s="136">
        <v>1281348.48</v>
      </c>
      <c r="L173" s="136">
        <v>8106074.3099999996</v>
      </c>
      <c r="M173" s="136">
        <v>7702638.2000000002</v>
      </c>
      <c r="N173" s="136">
        <v>830943.9</v>
      </c>
      <c r="O173" s="136">
        <v>678213.79999999993</v>
      </c>
      <c r="P173" s="178">
        <f>SUM(Ikärakenne[[#This Row],[Ikä 0–5]:[Ikä 18-64]])</f>
        <v>24849188.869999997</v>
      </c>
    </row>
    <row r="174" spans="1:16">
      <c r="A174" s="127">
        <v>561</v>
      </c>
      <c r="B174" s="124" t="s">
        <v>179</v>
      </c>
      <c r="C174" s="38">
        <f>SUM(Ikärakenne[[#This Row],[0–5-vuotiaat]:[16 vuotta täyttäneet]])</f>
        <v>1315</v>
      </c>
      <c r="D174" s="41">
        <v>61</v>
      </c>
      <c r="E174" s="41">
        <v>19</v>
      </c>
      <c r="F174" s="41">
        <v>91</v>
      </c>
      <c r="G174" s="41">
        <v>64</v>
      </c>
      <c r="H174" s="41">
        <v>1080</v>
      </c>
      <c r="I174" s="41">
        <v>686</v>
      </c>
      <c r="J174" s="136">
        <v>497713.02999999997</v>
      </c>
      <c r="K174" s="136">
        <v>164497.44</v>
      </c>
      <c r="L174" s="136">
        <v>658031.01</v>
      </c>
      <c r="M174" s="136">
        <v>795111.04</v>
      </c>
      <c r="N174" s="136">
        <v>68958</v>
      </c>
      <c r="O174" s="136">
        <v>55085.799999999996</v>
      </c>
      <c r="P174" s="178">
        <f>SUM(Ikärakenne[[#This Row],[Ikä 0–5]:[Ikä 18-64]])</f>
        <v>2239396.3199999998</v>
      </c>
    </row>
    <row r="175" spans="1:16">
      <c r="A175" s="127">
        <v>562</v>
      </c>
      <c r="B175" s="124" t="s">
        <v>180</v>
      </c>
      <c r="C175" s="38">
        <f>SUM(Ikärakenne[[#This Row],[0–5-vuotiaat]:[16 vuotta täyttäneet]])</f>
        <v>8839</v>
      </c>
      <c r="D175" s="41">
        <v>382</v>
      </c>
      <c r="E175" s="41">
        <v>75</v>
      </c>
      <c r="F175" s="41">
        <v>546</v>
      </c>
      <c r="G175" s="41">
        <v>304</v>
      </c>
      <c r="H175" s="41">
        <v>7532</v>
      </c>
      <c r="I175" s="41">
        <v>4484</v>
      </c>
      <c r="J175" s="136">
        <v>3116825.86</v>
      </c>
      <c r="K175" s="136">
        <v>649332</v>
      </c>
      <c r="L175" s="136">
        <v>3948186.0599999996</v>
      </c>
      <c r="M175" s="136">
        <v>3776777.4400000004</v>
      </c>
      <c r="N175" s="136">
        <v>480918.2</v>
      </c>
      <c r="O175" s="136">
        <v>360065.2</v>
      </c>
      <c r="P175" s="178">
        <f>SUM(Ikärakenne[[#This Row],[Ikä 0–5]:[Ikä 18-64]])</f>
        <v>12332104.759999998</v>
      </c>
    </row>
    <row r="176" spans="1:16">
      <c r="A176" s="127">
        <v>563</v>
      </c>
      <c r="B176" s="124" t="s">
        <v>181</v>
      </c>
      <c r="C176" s="38">
        <f>SUM(Ikärakenne[[#This Row],[0–5-vuotiaat]:[16 vuotta täyttäneet]])</f>
        <v>6978</v>
      </c>
      <c r="D176" s="41">
        <v>348</v>
      </c>
      <c r="E176" s="41">
        <v>60</v>
      </c>
      <c r="F176" s="41">
        <v>534</v>
      </c>
      <c r="G176" s="41">
        <v>285</v>
      </c>
      <c r="H176" s="41">
        <v>5751</v>
      </c>
      <c r="I176" s="41">
        <v>3469</v>
      </c>
      <c r="J176" s="136">
        <v>2839412.04</v>
      </c>
      <c r="K176" s="136">
        <v>519465.60000000003</v>
      </c>
      <c r="L176" s="136">
        <v>3861412.7399999998</v>
      </c>
      <c r="M176" s="136">
        <v>3540728.85</v>
      </c>
      <c r="N176" s="136">
        <v>367201.35000000003</v>
      </c>
      <c r="O176" s="136">
        <v>278560.7</v>
      </c>
      <c r="P176" s="178">
        <f>SUM(Ikärakenne[[#This Row],[Ikä 0–5]:[Ikä 18-64]])</f>
        <v>11406781.279999999</v>
      </c>
    </row>
    <row r="177" spans="1:16">
      <c r="A177" s="127">
        <v>564</v>
      </c>
      <c r="B177" s="124" t="s">
        <v>182</v>
      </c>
      <c r="C177" s="38">
        <f>SUM(Ikärakenne[[#This Row],[0–5-vuotiaat]:[16 vuotta täyttäneet]])</f>
        <v>214633</v>
      </c>
      <c r="D177" s="41">
        <v>12083</v>
      </c>
      <c r="E177" s="41">
        <v>2111</v>
      </c>
      <c r="F177" s="41">
        <v>14978</v>
      </c>
      <c r="G177" s="41">
        <v>8094</v>
      </c>
      <c r="H177" s="41">
        <v>177367</v>
      </c>
      <c r="I177" s="41">
        <v>134695</v>
      </c>
      <c r="J177" s="136">
        <v>98587976.089999989</v>
      </c>
      <c r="K177" s="136">
        <v>18276531.359999999</v>
      </c>
      <c r="L177" s="136">
        <v>108307565.58</v>
      </c>
      <c r="M177" s="136">
        <v>100556699.34</v>
      </c>
      <c r="N177" s="136">
        <v>11324882.950000001</v>
      </c>
      <c r="O177" s="136">
        <v>10816008.5</v>
      </c>
      <c r="P177" s="178">
        <f>SUM(Ikärakenne[[#This Row],[Ikä 0–5]:[Ikä 18-64]])</f>
        <v>347869663.81999999</v>
      </c>
    </row>
    <row r="178" spans="1:16">
      <c r="A178" s="127">
        <v>576</v>
      </c>
      <c r="B178" s="124" t="s">
        <v>183</v>
      </c>
      <c r="C178" s="38">
        <f>SUM(Ikärakenne[[#This Row],[0–5-vuotiaat]:[16 vuotta täyttäneet]])</f>
        <v>2726</v>
      </c>
      <c r="D178" s="41">
        <v>89</v>
      </c>
      <c r="E178" s="41">
        <v>13</v>
      </c>
      <c r="F178" s="41">
        <v>100</v>
      </c>
      <c r="G178" s="41">
        <v>70</v>
      </c>
      <c r="H178" s="41">
        <v>2454</v>
      </c>
      <c r="I178" s="41">
        <v>1234</v>
      </c>
      <c r="J178" s="136">
        <v>726171.47</v>
      </c>
      <c r="K178" s="136">
        <v>112550.88</v>
      </c>
      <c r="L178" s="136">
        <v>723111</v>
      </c>
      <c r="M178" s="136">
        <v>869652.70000000007</v>
      </c>
      <c r="N178" s="136">
        <v>156687.9</v>
      </c>
      <c r="O178" s="136">
        <v>99090.2</v>
      </c>
      <c r="P178" s="178">
        <f>SUM(Ikärakenne[[#This Row],[Ikä 0–5]:[Ikä 18-64]])</f>
        <v>2687264.1500000004</v>
      </c>
    </row>
    <row r="179" spans="1:16">
      <c r="A179" s="127">
        <v>577</v>
      </c>
      <c r="B179" s="124" t="s">
        <v>184</v>
      </c>
      <c r="C179" s="38">
        <f>SUM(Ikärakenne[[#This Row],[0–5-vuotiaat]:[16 vuotta täyttäneet]])</f>
        <v>11236</v>
      </c>
      <c r="D179" s="41">
        <v>706</v>
      </c>
      <c r="E179" s="41">
        <v>145</v>
      </c>
      <c r="F179" s="41">
        <v>927</v>
      </c>
      <c r="G179" s="41">
        <v>455</v>
      </c>
      <c r="H179" s="41">
        <v>9003</v>
      </c>
      <c r="I179" s="41">
        <v>6151</v>
      </c>
      <c r="J179" s="136">
        <v>5760416.3799999999</v>
      </c>
      <c r="K179" s="136">
        <v>1255375.2</v>
      </c>
      <c r="L179" s="136">
        <v>6703238.9699999997</v>
      </c>
      <c r="M179" s="136">
        <v>5652742.5499999998</v>
      </c>
      <c r="N179" s="136">
        <v>574841.55000000005</v>
      </c>
      <c r="O179" s="136">
        <v>493925.3</v>
      </c>
      <c r="P179" s="178">
        <f>SUM(Ikärakenne[[#This Row],[Ikä 0–5]:[Ikä 18-64]])</f>
        <v>20440539.950000003</v>
      </c>
    </row>
    <row r="180" spans="1:16">
      <c r="A180" s="127">
        <v>578</v>
      </c>
      <c r="B180" s="124" t="s">
        <v>185</v>
      </c>
      <c r="C180" s="38">
        <f>SUM(Ikärakenne[[#This Row],[0–5-vuotiaat]:[16 vuotta täyttäneet]])</f>
        <v>3037</v>
      </c>
      <c r="D180" s="41">
        <v>96</v>
      </c>
      <c r="E180" s="41">
        <v>21</v>
      </c>
      <c r="F180" s="41">
        <v>165</v>
      </c>
      <c r="G180" s="41">
        <v>102</v>
      </c>
      <c r="H180" s="41">
        <v>2653</v>
      </c>
      <c r="I180" s="41">
        <v>1477</v>
      </c>
      <c r="J180" s="136">
        <v>783286.08</v>
      </c>
      <c r="K180" s="136">
        <v>181812.96</v>
      </c>
      <c r="L180" s="136">
        <v>1193133.1499999999</v>
      </c>
      <c r="M180" s="136">
        <v>1267208.22</v>
      </c>
      <c r="N180" s="136">
        <v>169394.05000000002</v>
      </c>
      <c r="O180" s="136">
        <v>118603.09999999999</v>
      </c>
      <c r="P180" s="178">
        <f>SUM(Ikärakenne[[#This Row],[Ikä 0–5]:[Ikä 18-64]])</f>
        <v>3713437.56</v>
      </c>
    </row>
    <row r="181" spans="1:16">
      <c r="A181" s="127">
        <v>580</v>
      </c>
      <c r="B181" s="124" t="s">
        <v>186</v>
      </c>
      <c r="C181" s="38">
        <f>SUM(Ikärakenne[[#This Row],[0–5-vuotiaat]:[16 vuotta täyttäneet]])</f>
        <v>4366</v>
      </c>
      <c r="D181" s="41">
        <v>133</v>
      </c>
      <c r="E181" s="41">
        <v>25</v>
      </c>
      <c r="F181" s="41">
        <v>208</v>
      </c>
      <c r="G181" s="41">
        <v>97</v>
      </c>
      <c r="H181" s="41">
        <v>3903</v>
      </c>
      <c r="I181" s="41">
        <v>1975</v>
      </c>
      <c r="J181" s="136">
        <v>1085177.5899999999</v>
      </c>
      <c r="K181" s="136">
        <v>216444</v>
      </c>
      <c r="L181" s="136">
        <v>1504070.88</v>
      </c>
      <c r="M181" s="136">
        <v>1205090.1700000002</v>
      </c>
      <c r="N181" s="136">
        <v>249206.55000000002</v>
      </c>
      <c r="O181" s="136">
        <v>158592.5</v>
      </c>
      <c r="P181" s="178">
        <f>SUM(Ikärakenne[[#This Row],[Ikä 0–5]:[Ikä 18-64]])</f>
        <v>4418581.6899999995</v>
      </c>
    </row>
    <row r="182" spans="1:16">
      <c r="A182" s="127">
        <v>581</v>
      </c>
      <c r="B182" s="124" t="s">
        <v>187</v>
      </c>
      <c r="C182" s="38">
        <f>SUM(Ikärakenne[[#This Row],[0–5-vuotiaat]:[16 vuotta täyttäneet]])</f>
        <v>6123</v>
      </c>
      <c r="D182" s="41">
        <v>261</v>
      </c>
      <c r="E182" s="41">
        <v>47</v>
      </c>
      <c r="F182" s="41">
        <v>346</v>
      </c>
      <c r="G182" s="41">
        <v>206</v>
      </c>
      <c r="H182" s="41">
        <v>5263</v>
      </c>
      <c r="I182" s="41">
        <v>2982</v>
      </c>
      <c r="J182" s="136">
        <v>2129559.0299999998</v>
      </c>
      <c r="K182" s="136">
        <v>406914.72000000003</v>
      </c>
      <c r="L182" s="136">
        <v>2501964.06</v>
      </c>
      <c r="M182" s="136">
        <v>2559263.66</v>
      </c>
      <c r="N182" s="136">
        <v>336042.55</v>
      </c>
      <c r="O182" s="136">
        <v>239454.6</v>
      </c>
      <c r="P182" s="178">
        <f>SUM(Ikärakenne[[#This Row],[Ikä 0–5]:[Ikä 18-64]])</f>
        <v>8173198.6200000001</v>
      </c>
    </row>
    <row r="183" spans="1:16">
      <c r="A183" s="127">
        <v>583</v>
      </c>
      <c r="B183" s="124" t="s">
        <v>188</v>
      </c>
      <c r="C183" s="38">
        <f>SUM(Ikärakenne[[#This Row],[0–5-vuotiaat]:[16 vuotta täyttäneet]])</f>
        <v>912</v>
      </c>
      <c r="D183" s="41">
        <v>23</v>
      </c>
      <c r="E183" s="41">
        <v>4</v>
      </c>
      <c r="F183" s="41">
        <v>42</v>
      </c>
      <c r="G183" s="41">
        <v>10</v>
      </c>
      <c r="H183" s="41">
        <v>833</v>
      </c>
      <c r="I183" s="41">
        <v>467</v>
      </c>
      <c r="J183" s="136">
        <v>187662.28999999998</v>
      </c>
      <c r="K183" s="136">
        <v>34631.040000000001</v>
      </c>
      <c r="L183" s="136">
        <v>303706.62</v>
      </c>
      <c r="M183" s="136">
        <v>124236.1</v>
      </c>
      <c r="N183" s="136">
        <v>53187.05</v>
      </c>
      <c r="O183" s="136">
        <v>37500.1</v>
      </c>
      <c r="P183" s="178">
        <f>SUM(Ikärakenne[[#This Row],[Ikä 0–5]:[Ikä 18-64]])</f>
        <v>740923.2</v>
      </c>
    </row>
    <row r="184" spans="1:16">
      <c r="A184" s="127">
        <v>584</v>
      </c>
      <c r="B184" s="124" t="s">
        <v>189</v>
      </c>
      <c r="C184" s="38">
        <f>SUM(Ikärakenne[[#This Row],[0–5-vuotiaat]:[16 vuotta täyttäneet]])</f>
        <v>2578</v>
      </c>
      <c r="D184" s="41">
        <v>187</v>
      </c>
      <c r="E184" s="41">
        <v>40</v>
      </c>
      <c r="F184" s="41">
        <v>288</v>
      </c>
      <c r="G184" s="41">
        <v>151</v>
      </c>
      <c r="H184" s="41">
        <v>1912</v>
      </c>
      <c r="I184" s="41">
        <v>1143</v>
      </c>
      <c r="J184" s="136">
        <v>1525776.01</v>
      </c>
      <c r="K184" s="136">
        <v>346310.40000000002</v>
      </c>
      <c r="L184" s="136">
        <v>2082559.68</v>
      </c>
      <c r="M184" s="136">
        <v>1875965.11</v>
      </c>
      <c r="N184" s="136">
        <v>122081.2</v>
      </c>
      <c r="O184" s="136">
        <v>91782.9</v>
      </c>
      <c r="P184" s="178">
        <f>SUM(Ikärakenne[[#This Row],[Ikä 0–5]:[Ikä 18-64]])</f>
        <v>6044475.3000000007</v>
      </c>
    </row>
    <row r="185" spans="1:16">
      <c r="A185" s="127">
        <v>588</v>
      </c>
      <c r="B185" s="124" t="s">
        <v>190</v>
      </c>
      <c r="C185" s="38">
        <f>SUM(Ikärakenne[[#This Row],[0–5-vuotiaat]:[16 vuotta täyttäneet]])</f>
        <v>1577</v>
      </c>
      <c r="D185" s="41">
        <v>54</v>
      </c>
      <c r="E185" s="41">
        <v>6</v>
      </c>
      <c r="F185" s="41">
        <v>60</v>
      </c>
      <c r="G185" s="41">
        <v>37</v>
      </c>
      <c r="H185" s="41">
        <v>1420</v>
      </c>
      <c r="I185" s="41">
        <v>751</v>
      </c>
      <c r="J185" s="136">
        <v>440598.42</v>
      </c>
      <c r="K185" s="136">
        <v>51946.559999999998</v>
      </c>
      <c r="L185" s="136">
        <v>433866.6</v>
      </c>
      <c r="M185" s="136">
        <v>459673.57</v>
      </c>
      <c r="N185" s="136">
        <v>90667</v>
      </c>
      <c r="O185" s="136">
        <v>60305.299999999996</v>
      </c>
      <c r="P185" s="178">
        <f>SUM(Ikärakenne[[#This Row],[Ikä 0–5]:[Ikä 18-64]])</f>
        <v>1537057.45</v>
      </c>
    </row>
    <row r="186" spans="1:16">
      <c r="A186" s="127">
        <v>592</v>
      </c>
      <c r="B186" s="124" t="s">
        <v>191</v>
      </c>
      <c r="C186" s="38">
        <f>SUM(Ikärakenne[[#This Row],[0–5-vuotiaat]:[16 vuotta täyttäneet]])</f>
        <v>3596</v>
      </c>
      <c r="D186" s="41">
        <v>172</v>
      </c>
      <c r="E186" s="41">
        <v>37</v>
      </c>
      <c r="F186" s="41">
        <v>273</v>
      </c>
      <c r="G186" s="41">
        <v>175</v>
      </c>
      <c r="H186" s="41">
        <v>2939</v>
      </c>
      <c r="I186" s="41">
        <v>1896</v>
      </c>
      <c r="J186" s="136">
        <v>1403387.5599999998</v>
      </c>
      <c r="K186" s="136">
        <v>320337.12</v>
      </c>
      <c r="L186" s="136">
        <v>1974093.0299999998</v>
      </c>
      <c r="M186" s="136">
        <v>2174131.75</v>
      </c>
      <c r="N186" s="136">
        <v>187655.15</v>
      </c>
      <c r="O186" s="136">
        <v>152248.79999999999</v>
      </c>
      <c r="P186" s="178">
        <f>SUM(Ikärakenne[[#This Row],[Ikä 0–5]:[Ikä 18-64]])</f>
        <v>6211853.4099999992</v>
      </c>
    </row>
    <row r="187" spans="1:16">
      <c r="A187" s="127">
        <v>593</v>
      </c>
      <c r="B187" s="124" t="s">
        <v>192</v>
      </c>
      <c r="C187" s="38">
        <f>SUM(Ikärakenne[[#This Row],[0–5-vuotiaat]:[16 vuotta täyttäneet]])</f>
        <v>17050</v>
      </c>
      <c r="D187" s="41">
        <v>598</v>
      </c>
      <c r="E187" s="41">
        <v>119</v>
      </c>
      <c r="F187" s="41">
        <v>898</v>
      </c>
      <c r="G187" s="41">
        <v>447</v>
      </c>
      <c r="H187" s="41">
        <v>14988</v>
      </c>
      <c r="I187" s="41">
        <v>8627</v>
      </c>
      <c r="J187" s="136">
        <v>4879219.54</v>
      </c>
      <c r="K187" s="136">
        <v>1030273.4400000001</v>
      </c>
      <c r="L187" s="136">
        <v>6493536.7799999993</v>
      </c>
      <c r="M187" s="136">
        <v>5553353.6699999999</v>
      </c>
      <c r="N187" s="136">
        <v>956983.8</v>
      </c>
      <c r="O187" s="136">
        <v>692748.1</v>
      </c>
      <c r="P187" s="178">
        <f>SUM(Ikärakenne[[#This Row],[Ikä 0–5]:[Ikä 18-64]])</f>
        <v>19606115.330000002</v>
      </c>
    </row>
    <row r="188" spans="1:16">
      <c r="A188" s="127">
        <v>595</v>
      </c>
      <c r="B188" s="124" t="s">
        <v>193</v>
      </c>
      <c r="C188" s="38">
        <f>SUM(Ikärakenne[[#This Row],[0–5-vuotiaat]:[16 vuotta täyttäneet]])</f>
        <v>4073</v>
      </c>
      <c r="D188" s="41">
        <v>139</v>
      </c>
      <c r="E188" s="41">
        <v>35</v>
      </c>
      <c r="F188" s="41">
        <v>207</v>
      </c>
      <c r="G188" s="41">
        <v>141</v>
      </c>
      <c r="H188" s="41">
        <v>3551</v>
      </c>
      <c r="I188" s="41">
        <v>1816</v>
      </c>
      <c r="J188" s="136">
        <v>1134132.97</v>
      </c>
      <c r="K188" s="136">
        <v>303021.60000000003</v>
      </c>
      <c r="L188" s="136">
        <v>1496839.77</v>
      </c>
      <c r="M188" s="136">
        <v>1751729.01</v>
      </c>
      <c r="N188" s="136">
        <v>226731.35</v>
      </c>
      <c r="O188" s="136">
        <v>145824.79999999999</v>
      </c>
      <c r="P188" s="178">
        <f>SUM(Ikärakenne[[#This Row],[Ikä 0–5]:[Ikä 18-64]])</f>
        <v>5058279.4999999991</v>
      </c>
    </row>
    <row r="189" spans="1:16">
      <c r="A189" s="127">
        <v>598</v>
      </c>
      <c r="B189" s="124" t="s">
        <v>194</v>
      </c>
      <c r="C189" s="38">
        <f>SUM(Ikärakenne[[#This Row],[0–5-vuotiaat]:[16 vuotta täyttäneet]])</f>
        <v>19475</v>
      </c>
      <c r="D189" s="41">
        <v>1014</v>
      </c>
      <c r="E189" s="41">
        <v>201</v>
      </c>
      <c r="F189" s="41">
        <v>1192</v>
      </c>
      <c r="G189" s="41">
        <v>710</v>
      </c>
      <c r="H189" s="41">
        <v>16358</v>
      </c>
      <c r="I189" s="41">
        <v>10809</v>
      </c>
      <c r="J189" s="136">
        <v>8273459.2199999997</v>
      </c>
      <c r="K189" s="136">
        <v>1740209.76</v>
      </c>
      <c r="L189" s="136">
        <v>8619483.1199999992</v>
      </c>
      <c r="M189" s="136">
        <v>8820763.0999999996</v>
      </c>
      <c r="N189" s="136">
        <v>1044458.3</v>
      </c>
      <c r="O189" s="136">
        <v>867962.7</v>
      </c>
      <c r="P189" s="178">
        <f>SUM(Ikärakenne[[#This Row],[Ikä 0–5]:[Ikä 18-64]])</f>
        <v>29366336.200000003</v>
      </c>
    </row>
    <row r="190" spans="1:16">
      <c r="A190" s="127">
        <v>599</v>
      </c>
      <c r="B190" s="124" t="s">
        <v>195</v>
      </c>
      <c r="C190" s="38">
        <f>SUM(Ikärakenne[[#This Row],[0–5-vuotiaat]:[16 vuotta täyttäneet]])</f>
        <v>11225</v>
      </c>
      <c r="D190" s="41">
        <v>990</v>
      </c>
      <c r="E190" s="41">
        <v>171</v>
      </c>
      <c r="F190" s="41">
        <v>1012</v>
      </c>
      <c r="G190" s="41">
        <v>584</v>
      </c>
      <c r="H190" s="41">
        <v>8468</v>
      </c>
      <c r="I190" s="41">
        <v>5971</v>
      </c>
      <c r="J190" s="136">
        <v>8077637.6999999993</v>
      </c>
      <c r="K190" s="136">
        <v>1480476.96</v>
      </c>
      <c r="L190" s="136">
        <v>7317883.3199999994</v>
      </c>
      <c r="M190" s="136">
        <v>7255388.2400000002</v>
      </c>
      <c r="N190" s="136">
        <v>540681.80000000005</v>
      </c>
      <c r="O190" s="136">
        <v>479471.3</v>
      </c>
      <c r="P190" s="178">
        <f>SUM(Ikärakenne[[#This Row],[Ikä 0–5]:[Ikä 18-64]])</f>
        <v>25151539.32</v>
      </c>
    </row>
    <row r="191" spans="1:16">
      <c r="A191" s="127">
        <v>601</v>
      </c>
      <c r="B191" s="124" t="s">
        <v>196</v>
      </c>
      <c r="C191" s="38">
        <f>SUM(Ikärakenne[[#This Row],[0–5-vuotiaat]:[16 vuotta täyttäneet]])</f>
        <v>3739</v>
      </c>
      <c r="D191" s="41">
        <v>141</v>
      </c>
      <c r="E191" s="41">
        <v>32</v>
      </c>
      <c r="F191" s="41">
        <v>221</v>
      </c>
      <c r="G191" s="41">
        <v>149</v>
      </c>
      <c r="H191" s="41">
        <v>3196</v>
      </c>
      <c r="I191" s="41">
        <v>1795</v>
      </c>
      <c r="J191" s="136">
        <v>1150451.43</v>
      </c>
      <c r="K191" s="136">
        <v>277048.32000000001</v>
      </c>
      <c r="L191" s="136">
        <v>1598075.3099999998</v>
      </c>
      <c r="M191" s="136">
        <v>1851117.8900000001</v>
      </c>
      <c r="N191" s="136">
        <v>204064.6</v>
      </c>
      <c r="O191" s="136">
        <v>144138.5</v>
      </c>
      <c r="P191" s="178">
        <f>SUM(Ikärakenne[[#This Row],[Ikä 0–5]:[Ikä 18-64]])</f>
        <v>5224896.0499999989</v>
      </c>
    </row>
    <row r="192" spans="1:16">
      <c r="A192" s="127">
        <v>604</v>
      </c>
      <c r="B192" s="124" t="s">
        <v>197</v>
      </c>
      <c r="C192" s="38">
        <f>SUM(Ikärakenne[[#This Row],[0–5-vuotiaat]:[16 vuotta täyttäneet]])</f>
        <v>20763</v>
      </c>
      <c r="D192" s="41">
        <v>1245</v>
      </c>
      <c r="E192" s="41">
        <v>258</v>
      </c>
      <c r="F192" s="41">
        <v>1792</v>
      </c>
      <c r="G192" s="41">
        <v>885</v>
      </c>
      <c r="H192" s="41">
        <v>16583</v>
      </c>
      <c r="I192" s="41">
        <v>12206</v>
      </c>
      <c r="J192" s="136">
        <v>10158241.35</v>
      </c>
      <c r="K192" s="136">
        <v>2233702.08</v>
      </c>
      <c r="L192" s="136">
        <v>12958149.119999999</v>
      </c>
      <c r="M192" s="136">
        <v>10994894.85</v>
      </c>
      <c r="N192" s="136">
        <v>1058824.55</v>
      </c>
      <c r="O192" s="136">
        <v>980141.79999999993</v>
      </c>
      <c r="P192" s="178">
        <f>SUM(Ikärakenne[[#This Row],[Ikä 0–5]:[Ikä 18-64]])</f>
        <v>38383953.749999993</v>
      </c>
    </row>
    <row r="193" spans="1:16">
      <c r="A193" s="127">
        <v>607</v>
      </c>
      <c r="B193" s="124" t="s">
        <v>198</v>
      </c>
      <c r="C193" s="38">
        <f>SUM(Ikärakenne[[#This Row],[0–5-vuotiaat]:[16 vuotta täyttäneet]])</f>
        <v>4064</v>
      </c>
      <c r="D193" s="41">
        <v>171</v>
      </c>
      <c r="E193" s="41">
        <v>36</v>
      </c>
      <c r="F193" s="41">
        <v>242</v>
      </c>
      <c r="G193" s="41">
        <v>121</v>
      </c>
      <c r="H193" s="41">
        <v>3494</v>
      </c>
      <c r="I193" s="41">
        <v>1928</v>
      </c>
      <c r="J193" s="136">
        <v>1395228.3299999998</v>
      </c>
      <c r="K193" s="136">
        <v>311679.35999999999</v>
      </c>
      <c r="L193" s="136">
        <v>1749928.6199999999</v>
      </c>
      <c r="M193" s="136">
        <v>1503256.81</v>
      </c>
      <c r="N193" s="136">
        <v>223091.9</v>
      </c>
      <c r="O193" s="136">
        <v>154818.4</v>
      </c>
      <c r="P193" s="178">
        <f>SUM(Ikärakenne[[#This Row],[Ikä 0–5]:[Ikä 18-64]])</f>
        <v>5338003.42</v>
      </c>
    </row>
    <row r="194" spans="1:16">
      <c r="A194" s="127">
        <v>608</v>
      </c>
      <c r="B194" s="124" t="s">
        <v>199</v>
      </c>
      <c r="C194" s="38">
        <f>SUM(Ikärakenne[[#This Row],[0–5-vuotiaat]:[16 vuotta täyttäneet]])</f>
        <v>1943</v>
      </c>
      <c r="D194" s="41">
        <v>86</v>
      </c>
      <c r="E194" s="41">
        <v>9</v>
      </c>
      <c r="F194" s="41">
        <v>123</v>
      </c>
      <c r="G194" s="41">
        <v>61</v>
      </c>
      <c r="H194" s="41">
        <v>1664</v>
      </c>
      <c r="I194" s="41">
        <v>950</v>
      </c>
      <c r="J194" s="136">
        <v>701693.77999999991</v>
      </c>
      <c r="K194" s="136">
        <v>77919.839999999997</v>
      </c>
      <c r="L194" s="136">
        <v>889426.52999999991</v>
      </c>
      <c r="M194" s="136">
        <v>757840.21000000008</v>
      </c>
      <c r="N194" s="136">
        <v>106246.40000000001</v>
      </c>
      <c r="O194" s="136">
        <v>76285</v>
      </c>
      <c r="P194" s="178">
        <f>SUM(Ikärakenne[[#This Row],[Ikä 0–5]:[Ikä 18-64]])</f>
        <v>2609411.7599999998</v>
      </c>
    </row>
    <row r="195" spans="1:16">
      <c r="A195" s="127">
        <v>609</v>
      </c>
      <c r="B195" s="124" t="s">
        <v>200</v>
      </c>
      <c r="C195" s="38">
        <f>SUM(Ikärakenne[[#This Row],[0–5-vuotiaat]:[16 vuotta täyttäneet]])</f>
        <v>83106</v>
      </c>
      <c r="D195" s="41">
        <v>3730</v>
      </c>
      <c r="E195" s="41">
        <v>714</v>
      </c>
      <c r="F195" s="41">
        <v>4885</v>
      </c>
      <c r="G195" s="41">
        <v>2622</v>
      </c>
      <c r="H195" s="41">
        <v>71155</v>
      </c>
      <c r="I195" s="41">
        <v>46902</v>
      </c>
      <c r="J195" s="136">
        <v>30433927.899999999</v>
      </c>
      <c r="K195" s="136">
        <v>6181640.6400000006</v>
      </c>
      <c r="L195" s="136">
        <v>35323972.350000001</v>
      </c>
      <c r="M195" s="136">
        <v>32574705.420000002</v>
      </c>
      <c r="N195" s="136">
        <v>4543246.75</v>
      </c>
      <c r="O195" s="136">
        <v>3766230.6</v>
      </c>
      <c r="P195" s="178">
        <f>SUM(Ikärakenne[[#This Row],[Ikä 0–5]:[Ikä 18-64]])</f>
        <v>112823723.66</v>
      </c>
    </row>
    <row r="196" spans="1:16">
      <c r="A196" s="124">
        <v>611</v>
      </c>
      <c r="B196" s="124" t="s">
        <v>201</v>
      </c>
      <c r="C196" s="38">
        <f>SUM(Ikärakenne[[#This Row],[0–5-vuotiaat]:[16 vuotta täyttäneet]])</f>
        <v>4973</v>
      </c>
      <c r="D196" s="41">
        <v>285</v>
      </c>
      <c r="E196" s="41">
        <v>68</v>
      </c>
      <c r="F196" s="41">
        <v>386</v>
      </c>
      <c r="G196" s="41">
        <v>224</v>
      </c>
      <c r="H196" s="41">
        <v>4010</v>
      </c>
      <c r="I196" s="41">
        <v>2914</v>
      </c>
      <c r="J196" s="136">
        <v>2325380.5499999998</v>
      </c>
      <c r="K196" s="136">
        <v>588727.68000000005</v>
      </c>
      <c r="L196" s="136">
        <v>2791208.46</v>
      </c>
      <c r="M196" s="136">
        <v>2782888.64</v>
      </c>
      <c r="N196" s="136">
        <v>256038.5</v>
      </c>
      <c r="O196" s="136">
        <v>233994.19999999998</v>
      </c>
      <c r="P196" s="178">
        <f>SUM(Ikärakenne[[#This Row],[Ikä 0–5]:[Ikä 18-64]])</f>
        <v>8978238.0299999993</v>
      </c>
    </row>
    <row r="197" spans="1:16">
      <c r="A197" s="127">
        <v>614</v>
      </c>
      <c r="B197" s="124" t="s">
        <v>202</v>
      </c>
      <c r="C197" s="38">
        <f>SUM(Ikärakenne[[#This Row],[0–5-vuotiaat]:[16 vuotta täyttäneet]])</f>
        <v>2923</v>
      </c>
      <c r="D197" s="41">
        <v>64</v>
      </c>
      <c r="E197" s="41">
        <v>11</v>
      </c>
      <c r="F197" s="41">
        <v>104</v>
      </c>
      <c r="G197" s="41">
        <v>64</v>
      </c>
      <c r="H197" s="41">
        <v>2680</v>
      </c>
      <c r="I197" s="41">
        <v>1370</v>
      </c>
      <c r="J197" s="136">
        <v>522190.72</v>
      </c>
      <c r="K197" s="136">
        <v>95235.36</v>
      </c>
      <c r="L197" s="136">
        <v>752035.44</v>
      </c>
      <c r="M197" s="136">
        <v>795111.04</v>
      </c>
      <c r="N197" s="136">
        <v>171118</v>
      </c>
      <c r="O197" s="136">
        <v>110011</v>
      </c>
      <c r="P197" s="178">
        <f>SUM(Ikärakenne[[#This Row],[Ikä 0–5]:[Ikä 18-64]])</f>
        <v>2445701.56</v>
      </c>
    </row>
    <row r="198" spans="1:16">
      <c r="A198" s="127">
        <v>615</v>
      </c>
      <c r="B198" s="124" t="s">
        <v>203</v>
      </c>
      <c r="C198" s="38">
        <f>SUM(Ikärakenne[[#This Row],[0–5-vuotiaat]:[16 vuotta täyttäneet]])</f>
        <v>7479</v>
      </c>
      <c r="D198" s="41">
        <v>328</v>
      </c>
      <c r="E198" s="41">
        <v>63</v>
      </c>
      <c r="F198" s="41">
        <v>523</v>
      </c>
      <c r="G198" s="41">
        <v>275</v>
      </c>
      <c r="H198" s="41">
        <v>6290</v>
      </c>
      <c r="I198" s="41">
        <v>3506</v>
      </c>
      <c r="J198" s="136">
        <v>2676227.44</v>
      </c>
      <c r="K198" s="136">
        <v>545438.88</v>
      </c>
      <c r="L198" s="136">
        <v>3781870.53</v>
      </c>
      <c r="M198" s="136">
        <v>3416492.75</v>
      </c>
      <c r="N198" s="136">
        <v>401616.5</v>
      </c>
      <c r="O198" s="136">
        <v>281531.8</v>
      </c>
      <c r="P198" s="178">
        <f>SUM(Ikärakenne[[#This Row],[Ikä 0–5]:[Ikä 18-64]])</f>
        <v>11103177.9</v>
      </c>
    </row>
    <row r="199" spans="1:16">
      <c r="A199" s="127">
        <v>616</v>
      </c>
      <c r="B199" s="124" t="s">
        <v>204</v>
      </c>
      <c r="C199" s="38">
        <f>SUM(Ikärakenne[[#This Row],[0–5-vuotiaat]:[16 vuotta täyttäneet]])</f>
        <v>1781</v>
      </c>
      <c r="D199" s="41">
        <v>71</v>
      </c>
      <c r="E199" s="41">
        <v>13</v>
      </c>
      <c r="F199" s="41">
        <v>124</v>
      </c>
      <c r="G199" s="41">
        <v>64</v>
      </c>
      <c r="H199" s="41">
        <v>1509</v>
      </c>
      <c r="I199" s="41">
        <v>1036</v>
      </c>
      <c r="J199" s="136">
        <v>579305.32999999996</v>
      </c>
      <c r="K199" s="136">
        <v>112550.88</v>
      </c>
      <c r="L199" s="136">
        <v>896657.64</v>
      </c>
      <c r="M199" s="136">
        <v>795111.04</v>
      </c>
      <c r="N199" s="136">
        <v>96349.650000000009</v>
      </c>
      <c r="O199" s="136">
        <v>83190.8</v>
      </c>
      <c r="P199" s="178">
        <f>SUM(Ikärakenne[[#This Row],[Ikä 0–5]:[Ikä 18-64]])</f>
        <v>2563165.34</v>
      </c>
    </row>
    <row r="200" spans="1:16">
      <c r="A200" s="127">
        <v>619</v>
      </c>
      <c r="B200" s="124" t="s">
        <v>205</v>
      </c>
      <c r="C200" s="38">
        <f>SUM(Ikärakenne[[#This Row],[0–5-vuotiaat]:[16 vuotta täyttäneet]])</f>
        <v>2650</v>
      </c>
      <c r="D200" s="41">
        <v>90</v>
      </c>
      <c r="E200" s="41">
        <v>18</v>
      </c>
      <c r="F200" s="41">
        <v>132</v>
      </c>
      <c r="G200" s="41">
        <v>88</v>
      </c>
      <c r="H200" s="41">
        <v>2322</v>
      </c>
      <c r="I200" s="41">
        <v>1265</v>
      </c>
      <c r="J200" s="136">
        <v>734330.7</v>
      </c>
      <c r="K200" s="136">
        <v>155839.67999999999</v>
      </c>
      <c r="L200" s="136">
        <v>954506.5199999999</v>
      </c>
      <c r="M200" s="136">
        <v>1093277.6800000002</v>
      </c>
      <c r="N200" s="136">
        <v>148259.70000000001</v>
      </c>
      <c r="O200" s="136">
        <v>101579.5</v>
      </c>
      <c r="P200" s="178">
        <f>SUM(Ikärakenne[[#This Row],[Ikä 0–5]:[Ikä 18-64]])</f>
        <v>3187793.7800000003</v>
      </c>
    </row>
    <row r="201" spans="1:16">
      <c r="A201" s="127">
        <v>620</v>
      </c>
      <c r="B201" s="124" t="s">
        <v>206</v>
      </c>
      <c r="C201" s="38">
        <f>SUM(Ikärakenne[[#This Row],[0–5-vuotiaat]:[16 vuotta täyttäneet]])</f>
        <v>2359</v>
      </c>
      <c r="D201" s="41">
        <v>57</v>
      </c>
      <c r="E201" s="41">
        <v>13</v>
      </c>
      <c r="F201" s="41">
        <v>107</v>
      </c>
      <c r="G201" s="41">
        <v>57</v>
      </c>
      <c r="H201" s="41">
        <v>2125</v>
      </c>
      <c r="I201" s="41">
        <v>1077</v>
      </c>
      <c r="J201" s="136">
        <v>465076.11</v>
      </c>
      <c r="K201" s="136">
        <v>112550.88</v>
      </c>
      <c r="L201" s="136">
        <v>773728.77</v>
      </c>
      <c r="M201" s="136">
        <v>708145.77</v>
      </c>
      <c r="N201" s="136">
        <v>135681.25</v>
      </c>
      <c r="O201" s="136">
        <v>86483.099999999991</v>
      </c>
      <c r="P201" s="178">
        <f>SUM(Ikärakenne[[#This Row],[Ikä 0–5]:[Ikä 18-64]])</f>
        <v>2281665.8800000004</v>
      </c>
    </row>
    <row r="202" spans="1:16">
      <c r="A202" s="127">
        <v>623</v>
      </c>
      <c r="B202" s="124" t="s">
        <v>207</v>
      </c>
      <c r="C202" s="38">
        <f>SUM(Ikärakenne[[#This Row],[0–5-vuotiaat]:[16 vuotta täyttäneet]])</f>
        <v>2108</v>
      </c>
      <c r="D202" s="41">
        <v>52</v>
      </c>
      <c r="E202" s="41">
        <v>8</v>
      </c>
      <c r="F202" s="41">
        <v>49</v>
      </c>
      <c r="G202" s="41">
        <v>35</v>
      </c>
      <c r="H202" s="41">
        <v>1964</v>
      </c>
      <c r="I202" s="41">
        <v>957</v>
      </c>
      <c r="J202" s="136">
        <v>424279.95999999996</v>
      </c>
      <c r="K202" s="136">
        <v>69262.080000000002</v>
      </c>
      <c r="L202" s="136">
        <v>354324.38999999996</v>
      </c>
      <c r="M202" s="136">
        <v>434826.35000000003</v>
      </c>
      <c r="N202" s="136">
        <v>125401.40000000001</v>
      </c>
      <c r="O202" s="136">
        <v>76847.099999999991</v>
      </c>
      <c r="P202" s="178">
        <f>SUM(Ikärakenne[[#This Row],[Ikä 0–5]:[Ikä 18-64]])</f>
        <v>1484941.28</v>
      </c>
    </row>
    <row r="203" spans="1:16">
      <c r="A203" s="127">
        <v>624</v>
      </c>
      <c r="B203" s="124" t="s">
        <v>208</v>
      </c>
      <c r="C203" s="38">
        <f>SUM(Ikärakenne[[#This Row],[0–5-vuotiaat]:[16 vuotta täyttäneet]])</f>
        <v>5065</v>
      </c>
      <c r="D203" s="41">
        <v>238</v>
      </c>
      <c r="E203" s="41">
        <v>46</v>
      </c>
      <c r="F203" s="41">
        <v>379</v>
      </c>
      <c r="G203" s="41">
        <v>183</v>
      </c>
      <c r="H203" s="41">
        <v>4219</v>
      </c>
      <c r="I203" s="41">
        <v>2711</v>
      </c>
      <c r="J203" s="136">
        <v>1941896.74</v>
      </c>
      <c r="K203" s="136">
        <v>398256.96</v>
      </c>
      <c r="L203" s="136">
        <v>2740590.69</v>
      </c>
      <c r="M203" s="136">
        <v>2273520.63</v>
      </c>
      <c r="N203" s="136">
        <v>269383.15000000002</v>
      </c>
      <c r="O203" s="136">
        <v>217693.3</v>
      </c>
      <c r="P203" s="178">
        <f>SUM(Ikärakenne[[#This Row],[Ikä 0–5]:[Ikä 18-64]])</f>
        <v>7841341.4700000007</v>
      </c>
    </row>
    <row r="204" spans="1:16">
      <c r="A204" s="127">
        <v>625</v>
      </c>
      <c r="B204" s="124" t="s">
        <v>209</v>
      </c>
      <c r="C204" s="38">
        <f>SUM(Ikärakenne[[#This Row],[0–5-vuotiaat]:[16 vuotta täyttäneet]])</f>
        <v>2980</v>
      </c>
      <c r="D204" s="41">
        <v>144</v>
      </c>
      <c r="E204" s="41">
        <v>32</v>
      </c>
      <c r="F204" s="41">
        <v>221</v>
      </c>
      <c r="G204" s="41">
        <v>129</v>
      </c>
      <c r="H204" s="41">
        <v>2454</v>
      </c>
      <c r="I204" s="41">
        <v>1480</v>
      </c>
      <c r="J204" s="136">
        <v>1174929.1199999999</v>
      </c>
      <c r="K204" s="136">
        <v>277048.32000000001</v>
      </c>
      <c r="L204" s="136">
        <v>1598075.3099999998</v>
      </c>
      <c r="M204" s="136">
        <v>1602645.6900000002</v>
      </c>
      <c r="N204" s="136">
        <v>156687.9</v>
      </c>
      <c r="O204" s="136">
        <v>118844</v>
      </c>
      <c r="P204" s="178">
        <f>SUM(Ikärakenne[[#This Row],[Ikä 0–5]:[Ikä 18-64]])</f>
        <v>4928230.3400000008</v>
      </c>
    </row>
    <row r="205" spans="1:16">
      <c r="A205" s="127">
        <v>626</v>
      </c>
      <c r="B205" s="124" t="s">
        <v>210</v>
      </c>
      <c r="C205" s="38">
        <f>SUM(Ikärakenne[[#This Row],[0–5-vuotiaat]:[16 vuotta täyttäneet]])</f>
        <v>4756</v>
      </c>
      <c r="D205" s="41">
        <v>195</v>
      </c>
      <c r="E205" s="41">
        <v>43</v>
      </c>
      <c r="F205" s="41">
        <v>301</v>
      </c>
      <c r="G205" s="41">
        <v>167</v>
      </c>
      <c r="H205" s="41">
        <v>4050</v>
      </c>
      <c r="I205" s="41">
        <v>2181</v>
      </c>
      <c r="J205" s="136">
        <v>1591049.8499999999</v>
      </c>
      <c r="K205" s="136">
        <v>372283.68</v>
      </c>
      <c r="L205" s="136">
        <v>2176564.11</v>
      </c>
      <c r="M205" s="136">
        <v>2074742.87</v>
      </c>
      <c r="N205" s="136">
        <v>258592.5</v>
      </c>
      <c r="O205" s="136">
        <v>175134.3</v>
      </c>
      <c r="P205" s="178">
        <f>SUM(Ikärakenne[[#This Row],[Ikä 0–5]:[Ikä 18-64]])</f>
        <v>6648367.3099999996</v>
      </c>
    </row>
    <row r="206" spans="1:16">
      <c r="A206" s="127">
        <v>630</v>
      </c>
      <c r="B206" s="124" t="s">
        <v>211</v>
      </c>
      <c r="C206" s="38">
        <f>SUM(Ikärakenne[[#This Row],[0–5-vuotiaat]:[16 vuotta täyttäneet]])</f>
        <v>1646</v>
      </c>
      <c r="D206" s="41">
        <v>137</v>
      </c>
      <c r="E206" s="41">
        <v>24</v>
      </c>
      <c r="F206" s="41">
        <v>144</v>
      </c>
      <c r="G206" s="41">
        <v>72</v>
      </c>
      <c r="H206" s="41">
        <v>1269</v>
      </c>
      <c r="I206" s="41">
        <v>807</v>
      </c>
      <c r="J206" s="136">
        <v>1117814.51</v>
      </c>
      <c r="K206" s="136">
        <v>207786.23999999999</v>
      </c>
      <c r="L206" s="136">
        <v>1041279.84</v>
      </c>
      <c r="M206" s="136">
        <v>894499.92</v>
      </c>
      <c r="N206" s="136">
        <v>81025.650000000009</v>
      </c>
      <c r="O206" s="136">
        <v>64802.1</v>
      </c>
      <c r="P206" s="178">
        <f>SUM(Ikärakenne[[#This Row],[Ikä 0–5]:[Ikä 18-64]])</f>
        <v>3407208.26</v>
      </c>
    </row>
    <row r="207" spans="1:16">
      <c r="A207" s="127">
        <v>631</v>
      </c>
      <c r="B207" s="124" t="s">
        <v>212</v>
      </c>
      <c r="C207" s="38">
        <f>SUM(Ikärakenne[[#This Row],[0–5-vuotiaat]:[16 vuotta täyttäneet]])</f>
        <v>1930</v>
      </c>
      <c r="D207" s="41">
        <v>94</v>
      </c>
      <c r="E207" s="41">
        <v>21</v>
      </c>
      <c r="F207" s="41">
        <v>132</v>
      </c>
      <c r="G207" s="41">
        <v>60</v>
      </c>
      <c r="H207" s="41">
        <v>1623</v>
      </c>
      <c r="I207" s="41">
        <v>1000</v>
      </c>
      <c r="J207" s="136">
        <v>766967.62</v>
      </c>
      <c r="K207" s="136">
        <v>181812.96</v>
      </c>
      <c r="L207" s="136">
        <v>954506.5199999999</v>
      </c>
      <c r="M207" s="136">
        <v>745416.60000000009</v>
      </c>
      <c r="N207" s="136">
        <v>103628.55</v>
      </c>
      <c r="O207" s="136">
        <v>80300</v>
      </c>
      <c r="P207" s="178">
        <f>SUM(Ikärakenne[[#This Row],[Ikä 0–5]:[Ikä 18-64]])</f>
        <v>2832632.25</v>
      </c>
    </row>
    <row r="208" spans="1:16">
      <c r="A208" s="127">
        <v>635</v>
      </c>
      <c r="B208" s="124" t="s">
        <v>213</v>
      </c>
      <c r="C208" s="38">
        <f>SUM(Ikärakenne[[#This Row],[0–5-vuotiaat]:[16 vuotta täyttäneet]])</f>
        <v>6337</v>
      </c>
      <c r="D208" s="41">
        <v>271</v>
      </c>
      <c r="E208" s="41">
        <v>45</v>
      </c>
      <c r="F208" s="41">
        <v>390</v>
      </c>
      <c r="G208" s="41">
        <v>237</v>
      </c>
      <c r="H208" s="41">
        <v>5394</v>
      </c>
      <c r="I208" s="41">
        <v>3301</v>
      </c>
      <c r="J208" s="136">
        <v>2211151.33</v>
      </c>
      <c r="K208" s="136">
        <v>389599.2</v>
      </c>
      <c r="L208" s="136">
        <v>2820132.9</v>
      </c>
      <c r="M208" s="136">
        <v>2944395.5700000003</v>
      </c>
      <c r="N208" s="136">
        <v>344406.9</v>
      </c>
      <c r="O208" s="136">
        <v>265070.3</v>
      </c>
      <c r="P208" s="178">
        <f>SUM(Ikärakenne[[#This Row],[Ikä 0–5]:[Ikä 18-64]])</f>
        <v>8974756.2000000011</v>
      </c>
    </row>
    <row r="209" spans="1:16">
      <c r="A209" s="127">
        <v>636</v>
      </c>
      <c r="B209" s="124" t="s">
        <v>214</v>
      </c>
      <c r="C209" s="38">
        <f>SUM(Ikärakenne[[#This Row],[0–5-vuotiaat]:[16 vuotta täyttäneet]])</f>
        <v>8130</v>
      </c>
      <c r="D209" s="41">
        <v>416</v>
      </c>
      <c r="E209" s="41">
        <v>98</v>
      </c>
      <c r="F209" s="41">
        <v>617</v>
      </c>
      <c r="G209" s="41">
        <v>353</v>
      </c>
      <c r="H209" s="41">
        <v>6646</v>
      </c>
      <c r="I209" s="41">
        <v>4283</v>
      </c>
      <c r="J209" s="136">
        <v>3394239.6799999997</v>
      </c>
      <c r="K209" s="136">
        <v>848460.48</v>
      </c>
      <c r="L209" s="136">
        <v>4461594.87</v>
      </c>
      <c r="M209" s="136">
        <v>4385534.33</v>
      </c>
      <c r="N209" s="136">
        <v>424347.10000000003</v>
      </c>
      <c r="O209" s="136">
        <v>343924.89999999997</v>
      </c>
      <c r="P209" s="178">
        <f>SUM(Ikärakenne[[#This Row],[Ikä 0–5]:[Ikä 18-64]])</f>
        <v>13858101.360000001</v>
      </c>
    </row>
    <row r="210" spans="1:16">
      <c r="A210" s="127">
        <v>638</v>
      </c>
      <c r="B210" s="124" t="s">
        <v>215</v>
      </c>
      <c r="C210" s="38">
        <f>SUM(Ikärakenne[[#This Row],[0–5-vuotiaat]:[16 vuotta täyttäneet]])</f>
        <v>51289</v>
      </c>
      <c r="D210" s="41">
        <v>2708</v>
      </c>
      <c r="E210" s="41">
        <v>518</v>
      </c>
      <c r="F210" s="41">
        <v>3671</v>
      </c>
      <c r="G210" s="41">
        <v>1958</v>
      </c>
      <c r="H210" s="41">
        <v>42434</v>
      </c>
      <c r="I210" s="41">
        <v>29370</v>
      </c>
      <c r="J210" s="136">
        <v>22095194.84</v>
      </c>
      <c r="K210" s="136">
        <v>4484719.68</v>
      </c>
      <c r="L210" s="136">
        <v>26545404.809999999</v>
      </c>
      <c r="M210" s="136">
        <v>24325428.380000003</v>
      </c>
      <c r="N210" s="136">
        <v>2709410.9</v>
      </c>
      <c r="O210" s="136">
        <v>2358411</v>
      </c>
      <c r="P210" s="178">
        <f>SUM(Ikärakenne[[#This Row],[Ikä 0–5]:[Ikä 18-64]])</f>
        <v>82518569.610000014</v>
      </c>
    </row>
    <row r="211" spans="1:16">
      <c r="A211" s="127">
        <v>678</v>
      </c>
      <c r="B211" s="124" t="s">
        <v>216</v>
      </c>
      <c r="C211" s="38">
        <f>SUM(Ikärakenne[[#This Row],[0–5-vuotiaat]:[16 vuotta täyttäneet]])</f>
        <v>23797</v>
      </c>
      <c r="D211" s="41">
        <v>1144</v>
      </c>
      <c r="E211" s="41">
        <v>257</v>
      </c>
      <c r="F211" s="41">
        <v>1841</v>
      </c>
      <c r="G211" s="41">
        <v>1038</v>
      </c>
      <c r="H211" s="41">
        <v>19517</v>
      </c>
      <c r="I211" s="41">
        <v>12233</v>
      </c>
      <c r="J211" s="136">
        <v>9334159.1199999992</v>
      </c>
      <c r="K211" s="136">
        <v>2225044.3199999998</v>
      </c>
      <c r="L211" s="136">
        <v>13312473.51</v>
      </c>
      <c r="M211" s="136">
        <v>12895707.18</v>
      </c>
      <c r="N211" s="136">
        <v>1246160.45</v>
      </c>
      <c r="O211" s="136">
        <v>982309.9</v>
      </c>
      <c r="P211" s="178">
        <f>SUM(Ikärakenne[[#This Row],[Ikä 0–5]:[Ikä 18-64]])</f>
        <v>39995854.479999997</v>
      </c>
    </row>
    <row r="212" spans="1:16">
      <c r="A212" s="127">
        <v>680</v>
      </c>
      <c r="B212" s="124" t="s">
        <v>217</v>
      </c>
      <c r="C212" s="38">
        <f>SUM(Ikärakenne[[#This Row],[0–5-vuotiaat]:[16 vuotta täyttäneet]])</f>
        <v>25331</v>
      </c>
      <c r="D212" s="41">
        <v>1387</v>
      </c>
      <c r="E212" s="41">
        <v>268</v>
      </c>
      <c r="F212" s="41">
        <v>1664</v>
      </c>
      <c r="G212" s="41">
        <v>828</v>
      </c>
      <c r="H212" s="41">
        <v>21184</v>
      </c>
      <c r="I212" s="41">
        <v>14608</v>
      </c>
      <c r="J212" s="136">
        <v>11316852.01</v>
      </c>
      <c r="K212" s="136">
        <v>2320279.6800000002</v>
      </c>
      <c r="L212" s="136">
        <v>12032567.039999999</v>
      </c>
      <c r="M212" s="136">
        <v>10286749.08</v>
      </c>
      <c r="N212" s="136">
        <v>1352598.4000000001</v>
      </c>
      <c r="O212" s="136">
        <v>1173022.3999999999</v>
      </c>
      <c r="P212" s="178">
        <f>SUM(Ikärakenne[[#This Row],[Ikä 0–5]:[Ikä 18-64]])</f>
        <v>38482068.609999992</v>
      </c>
    </row>
    <row r="213" spans="1:16">
      <c r="A213" s="127">
        <v>681</v>
      </c>
      <c r="B213" s="124" t="s">
        <v>218</v>
      </c>
      <c r="C213" s="38">
        <f>SUM(Ikärakenne[[#This Row],[0–5-vuotiaat]:[16 vuotta täyttäneet]])</f>
        <v>3297</v>
      </c>
      <c r="D213" s="41">
        <v>109</v>
      </c>
      <c r="E213" s="41">
        <v>29</v>
      </c>
      <c r="F213" s="41">
        <v>193</v>
      </c>
      <c r="G213" s="41">
        <v>78</v>
      </c>
      <c r="H213" s="41">
        <v>2888</v>
      </c>
      <c r="I213" s="41">
        <v>1612</v>
      </c>
      <c r="J213" s="136">
        <v>889356.07</v>
      </c>
      <c r="K213" s="136">
        <v>251075.04</v>
      </c>
      <c r="L213" s="136">
        <v>1395604.23</v>
      </c>
      <c r="M213" s="136">
        <v>969041.58000000007</v>
      </c>
      <c r="N213" s="136">
        <v>184398.80000000002</v>
      </c>
      <c r="O213" s="136">
        <v>129443.59999999999</v>
      </c>
      <c r="P213" s="178">
        <f>SUM(Ikärakenne[[#This Row],[Ikä 0–5]:[Ikä 18-64]])</f>
        <v>3818919.32</v>
      </c>
    </row>
    <row r="214" spans="1:16">
      <c r="A214" s="127">
        <v>683</v>
      </c>
      <c r="B214" s="124" t="s">
        <v>219</v>
      </c>
      <c r="C214" s="38">
        <f>SUM(Ikärakenne[[#This Row],[0–5-vuotiaat]:[16 vuotta täyttäneet]])</f>
        <v>3599</v>
      </c>
      <c r="D214" s="41">
        <v>158</v>
      </c>
      <c r="E214" s="41">
        <v>37</v>
      </c>
      <c r="F214" s="41">
        <v>281</v>
      </c>
      <c r="G214" s="41">
        <v>178</v>
      </c>
      <c r="H214" s="41">
        <v>2945</v>
      </c>
      <c r="I214" s="41">
        <v>1683</v>
      </c>
      <c r="J214" s="136">
        <v>1289158.3399999999</v>
      </c>
      <c r="K214" s="136">
        <v>320337.12</v>
      </c>
      <c r="L214" s="136">
        <v>2031941.91</v>
      </c>
      <c r="M214" s="136">
        <v>2211402.58</v>
      </c>
      <c r="N214" s="136">
        <v>188038.25</v>
      </c>
      <c r="O214" s="136">
        <v>135144.9</v>
      </c>
      <c r="P214" s="178">
        <f>SUM(Ikärakenne[[#This Row],[Ikä 0–5]:[Ikä 18-64]])</f>
        <v>6176023.1000000006</v>
      </c>
    </row>
    <row r="215" spans="1:16">
      <c r="A215" s="127">
        <v>684</v>
      </c>
      <c r="B215" s="124" t="s">
        <v>220</v>
      </c>
      <c r="C215" s="38">
        <f>SUM(Ikärakenne[[#This Row],[0–5-vuotiaat]:[16 vuotta täyttäneet]])</f>
        <v>38832</v>
      </c>
      <c r="D215" s="41">
        <v>1744</v>
      </c>
      <c r="E215" s="41">
        <v>379</v>
      </c>
      <c r="F215" s="41">
        <v>2297</v>
      </c>
      <c r="G215" s="41">
        <v>1248</v>
      </c>
      <c r="H215" s="41">
        <v>33164</v>
      </c>
      <c r="I215" s="41">
        <v>21739</v>
      </c>
      <c r="J215" s="136">
        <v>14229697.119999999</v>
      </c>
      <c r="K215" s="136">
        <v>3281291.04</v>
      </c>
      <c r="L215" s="136">
        <v>16609859.67</v>
      </c>
      <c r="M215" s="136">
        <v>15504665.280000001</v>
      </c>
      <c r="N215" s="136">
        <v>2117521.4</v>
      </c>
      <c r="O215" s="136">
        <v>1745641.7</v>
      </c>
      <c r="P215" s="178">
        <f>SUM(Ikärakenne[[#This Row],[Ikä 0–5]:[Ikä 18-64]])</f>
        <v>53488676.210000001</v>
      </c>
    </row>
    <row r="216" spans="1:16">
      <c r="A216" s="127">
        <v>686</v>
      </c>
      <c r="B216" s="124" t="s">
        <v>221</v>
      </c>
      <c r="C216" s="38">
        <f>SUM(Ikärakenne[[#This Row],[0–5-vuotiaat]:[16 vuotta täyttäneet]])</f>
        <v>2933</v>
      </c>
      <c r="D216" s="41">
        <v>86</v>
      </c>
      <c r="E216" s="41">
        <v>19</v>
      </c>
      <c r="F216" s="41">
        <v>146</v>
      </c>
      <c r="G216" s="41">
        <v>100</v>
      </c>
      <c r="H216" s="41">
        <v>2582</v>
      </c>
      <c r="I216" s="41">
        <v>1424</v>
      </c>
      <c r="J216" s="136">
        <v>701693.77999999991</v>
      </c>
      <c r="K216" s="136">
        <v>164497.44</v>
      </c>
      <c r="L216" s="136">
        <v>1055742.06</v>
      </c>
      <c r="M216" s="136">
        <v>1242361</v>
      </c>
      <c r="N216" s="136">
        <v>164860.70000000001</v>
      </c>
      <c r="O216" s="136">
        <v>114347.2</v>
      </c>
      <c r="P216" s="178">
        <f>SUM(Ikärakenne[[#This Row],[Ikä 0–5]:[Ikä 18-64]])</f>
        <v>3443502.1800000006</v>
      </c>
    </row>
    <row r="217" spans="1:16">
      <c r="A217" s="127">
        <v>687</v>
      </c>
      <c r="B217" s="124" t="s">
        <v>222</v>
      </c>
      <c r="C217" s="38">
        <f>SUM(Ikärakenne[[#This Row],[0–5-vuotiaat]:[16 vuotta täyttäneet]])</f>
        <v>1424</v>
      </c>
      <c r="D217" s="41">
        <v>34</v>
      </c>
      <c r="E217" s="41">
        <v>8</v>
      </c>
      <c r="F217" s="41">
        <v>56</v>
      </c>
      <c r="G217" s="41">
        <v>45</v>
      </c>
      <c r="H217" s="41">
        <v>1281</v>
      </c>
      <c r="I217" s="41">
        <v>656</v>
      </c>
      <c r="J217" s="136">
        <v>277413.82</v>
      </c>
      <c r="K217" s="136">
        <v>69262.080000000002</v>
      </c>
      <c r="L217" s="136">
        <v>404942.16</v>
      </c>
      <c r="M217" s="136">
        <v>559062.45000000007</v>
      </c>
      <c r="N217" s="136">
        <v>81791.850000000006</v>
      </c>
      <c r="O217" s="136">
        <v>52676.799999999996</v>
      </c>
      <c r="P217" s="178">
        <f>SUM(Ikärakenne[[#This Row],[Ikä 0–5]:[Ikä 18-64]])</f>
        <v>1445149.1600000004</v>
      </c>
    </row>
    <row r="218" spans="1:16">
      <c r="A218" s="127">
        <v>689</v>
      </c>
      <c r="B218" s="124" t="s">
        <v>223</v>
      </c>
      <c r="C218" s="38">
        <f>SUM(Ikärakenne[[#This Row],[0–5-vuotiaat]:[16 vuotta täyttäneet]])</f>
        <v>3032</v>
      </c>
      <c r="D218" s="41">
        <v>79</v>
      </c>
      <c r="E218" s="41">
        <v>13</v>
      </c>
      <c r="F218" s="41">
        <v>131</v>
      </c>
      <c r="G218" s="41">
        <v>70</v>
      </c>
      <c r="H218" s="41">
        <v>2739</v>
      </c>
      <c r="I218" s="41">
        <v>1411</v>
      </c>
      <c r="J218" s="136">
        <v>644579.16999999993</v>
      </c>
      <c r="K218" s="136">
        <v>112550.88</v>
      </c>
      <c r="L218" s="136">
        <v>947275.40999999992</v>
      </c>
      <c r="M218" s="136">
        <v>869652.70000000007</v>
      </c>
      <c r="N218" s="136">
        <v>174885.15</v>
      </c>
      <c r="O218" s="136">
        <v>113303.3</v>
      </c>
      <c r="P218" s="178">
        <f>SUM(Ikärakenne[[#This Row],[Ikä 0–5]:[Ikä 18-64]])</f>
        <v>2862246.61</v>
      </c>
    </row>
    <row r="219" spans="1:16">
      <c r="A219" s="127">
        <v>691</v>
      </c>
      <c r="B219" s="124" t="s">
        <v>224</v>
      </c>
      <c r="C219" s="38">
        <f>SUM(Ikärakenne[[#This Row],[0–5-vuotiaat]:[16 vuotta täyttäneet]])</f>
        <v>2598</v>
      </c>
      <c r="D219" s="41">
        <v>163</v>
      </c>
      <c r="E219" s="41">
        <v>23</v>
      </c>
      <c r="F219" s="41">
        <v>217</v>
      </c>
      <c r="G219" s="41">
        <v>104</v>
      </c>
      <c r="H219" s="41">
        <v>2091</v>
      </c>
      <c r="I219" s="41">
        <v>1263</v>
      </c>
      <c r="J219" s="136">
        <v>1329954.49</v>
      </c>
      <c r="K219" s="136">
        <v>199128.48</v>
      </c>
      <c r="L219" s="136">
        <v>1569150.8699999999</v>
      </c>
      <c r="M219" s="136">
        <v>1292055.44</v>
      </c>
      <c r="N219" s="136">
        <v>133510.35</v>
      </c>
      <c r="O219" s="136">
        <v>101418.9</v>
      </c>
      <c r="P219" s="178">
        <f>SUM(Ikärakenne[[#This Row],[Ikä 0–5]:[Ikä 18-64]])</f>
        <v>4625218.5299999993</v>
      </c>
    </row>
    <row r="220" spans="1:16">
      <c r="A220" s="127">
        <v>694</v>
      </c>
      <c r="B220" s="124" t="s">
        <v>225</v>
      </c>
      <c r="C220" s="38">
        <f>SUM(Ikärakenne[[#This Row],[0–5-vuotiaat]:[16 vuotta täyttäneet]])</f>
        <v>28483</v>
      </c>
      <c r="D220" s="41">
        <v>1280</v>
      </c>
      <c r="E220" s="41">
        <v>248</v>
      </c>
      <c r="F220" s="41">
        <v>1823</v>
      </c>
      <c r="G220" s="41">
        <v>1090</v>
      </c>
      <c r="H220" s="41">
        <v>24042</v>
      </c>
      <c r="I220" s="41">
        <v>16355</v>
      </c>
      <c r="J220" s="136">
        <v>10443814.399999999</v>
      </c>
      <c r="K220" s="136">
        <v>2147124.48</v>
      </c>
      <c r="L220" s="136">
        <v>13182313.529999999</v>
      </c>
      <c r="M220" s="136">
        <v>13541734.9</v>
      </c>
      <c r="N220" s="136">
        <v>1535081.7</v>
      </c>
      <c r="O220" s="136">
        <v>1313306.5</v>
      </c>
      <c r="P220" s="178">
        <f>SUM(Ikärakenne[[#This Row],[Ikä 0–5]:[Ikä 18-64]])</f>
        <v>42163375.509999998</v>
      </c>
    </row>
    <row r="221" spans="1:16">
      <c r="A221" s="127">
        <v>697</v>
      </c>
      <c r="B221" s="124" t="s">
        <v>226</v>
      </c>
      <c r="C221" s="38">
        <f>SUM(Ikärakenne[[#This Row],[0–5-vuotiaat]:[16 vuotta täyttäneet]])</f>
        <v>1164</v>
      </c>
      <c r="D221" s="41">
        <v>37</v>
      </c>
      <c r="E221" s="41">
        <v>10</v>
      </c>
      <c r="F221" s="41">
        <v>50</v>
      </c>
      <c r="G221" s="41">
        <v>32</v>
      </c>
      <c r="H221" s="41">
        <v>1035</v>
      </c>
      <c r="I221" s="41">
        <v>529</v>
      </c>
      <c r="J221" s="136">
        <v>301891.51</v>
      </c>
      <c r="K221" s="136">
        <v>86577.600000000006</v>
      </c>
      <c r="L221" s="136">
        <v>361555.5</v>
      </c>
      <c r="M221" s="136">
        <v>397555.52</v>
      </c>
      <c r="N221" s="136">
        <v>66084.75</v>
      </c>
      <c r="O221" s="136">
        <v>42478.7</v>
      </c>
      <c r="P221" s="178">
        <f>SUM(Ikärakenne[[#This Row],[Ikä 0–5]:[Ikä 18-64]])</f>
        <v>1256143.5799999998</v>
      </c>
    </row>
    <row r="222" spans="1:16">
      <c r="A222" s="127">
        <v>698</v>
      </c>
      <c r="B222" s="124" t="s">
        <v>227</v>
      </c>
      <c r="C222" s="38">
        <f>SUM(Ikärakenne[[#This Row],[0–5-vuotiaat]:[16 vuotta täyttäneet]])</f>
        <v>65286</v>
      </c>
      <c r="D222" s="41">
        <v>3588</v>
      </c>
      <c r="E222" s="41">
        <v>630</v>
      </c>
      <c r="F222" s="41">
        <v>4411</v>
      </c>
      <c r="G222" s="41">
        <v>2363</v>
      </c>
      <c r="H222" s="41">
        <v>54294</v>
      </c>
      <c r="I222" s="41">
        <v>39088</v>
      </c>
      <c r="J222" s="136">
        <v>29275317.239999998</v>
      </c>
      <c r="K222" s="136">
        <v>5454388.7999999998</v>
      </c>
      <c r="L222" s="136">
        <v>31896426.209999997</v>
      </c>
      <c r="M222" s="136">
        <v>29356990.43</v>
      </c>
      <c r="N222" s="136">
        <v>3466671.9</v>
      </c>
      <c r="O222" s="136">
        <v>3138766.4</v>
      </c>
      <c r="P222" s="178">
        <f>SUM(Ikärakenne[[#This Row],[Ikä 0–5]:[Ikä 18-64]])</f>
        <v>102588560.98000002</v>
      </c>
    </row>
    <row r="223" spans="1:16">
      <c r="A223" s="127">
        <v>700</v>
      </c>
      <c r="B223" s="124" t="s">
        <v>228</v>
      </c>
      <c r="C223" s="38">
        <f>SUM(Ikärakenne[[#This Row],[0–5-vuotiaat]:[16 vuotta täyttäneet]])</f>
        <v>4758</v>
      </c>
      <c r="D223" s="41">
        <v>129</v>
      </c>
      <c r="E223" s="41">
        <v>37</v>
      </c>
      <c r="F223" s="41">
        <v>253</v>
      </c>
      <c r="G223" s="41">
        <v>163</v>
      </c>
      <c r="H223" s="41">
        <v>4176</v>
      </c>
      <c r="I223" s="41">
        <v>2321</v>
      </c>
      <c r="J223" s="136">
        <v>1052540.67</v>
      </c>
      <c r="K223" s="136">
        <v>320337.12</v>
      </c>
      <c r="L223" s="136">
        <v>1829470.8299999998</v>
      </c>
      <c r="M223" s="136">
        <v>2025048.4300000002</v>
      </c>
      <c r="N223" s="136">
        <v>266637.60000000003</v>
      </c>
      <c r="O223" s="136">
        <v>186376.3</v>
      </c>
      <c r="P223" s="178">
        <f>SUM(Ikärakenne[[#This Row],[Ikä 0–5]:[Ikä 18-64]])</f>
        <v>5680410.9500000002</v>
      </c>
    </row>
    <row r="224" spans="1:16">
      <c r="A224" s="127">
        <v>702</v>
      </c>
      <c r="B224" s="124" t="s">
        <v>229</v>
      </c>
      <c r="C224" s="38">
        <f>SUM(Ikärakenne[[#This Row],[0–5-vuotiaat]:[16 vuotta täyttäneet]])</f>
        <v>4124</v>
      </c>
      <c r="D224" s="41">
        <v>142</v>
      </c>
      <c r="E224" s="41">
        <v>31</v>
      </c>
      <c r="F224" s="41">
        <v>193</v>
      </c>
      <c r="G224" s="41">
        <v>110</v>
      </c>
      <c r="H224" s="41">
        <v>3648</v>
      </c>
      <c r="I224" s="41">
        <v>1913</v>
      </c>
      <c r="J224" s="136">
        <v>1158610.6599999999</v>
      </c>
      <c r="K224" s="136">
        <v>268390.56</v>
      </c>
      <c r="L224" s="136">
        <v>1395604.23</v>
      </c>
      <c r="M224" s="136">
        <v>1366597.1</v>
      </c>
      <c r="N224" s="136">
        <v>232924.80000000002</v>
      </c>
      <c r="O224" s="136">
        <v>153613.9</v>
      </c>
      <c r="P224" s="178">
        <f>SUM(Ikärakenne[[#This Row],[Ikä 0–5]:[Ikä 18-64]])</f>
        <v>4575741.2500000009</v>
      </c>
    </row>
    <row r="225" spans="1:16">
      <c r="A225" s="127">
        <v>704</v>
      </c>
      <c r="B225" s="124" t="s">
        <v>230</v>
      </c>
      <c r="C225" s="38">
        <f>SUM(Ikärakenne[[#This Row],[0–5-vuotiaat]:[16 vuotta täyttäneet]])</f>
        <v>6436</v>
      </c>
      <c r="D225" s="41">
        <v>441</v>
      </c>
      <c r="E225" s="41">
        <v>88</v>
      </c>
      <c r="F225" s="41">
        <v>583</v>
      </c>
      <c r="G225" s="41">
        <v>236</v>
      </c>
      <c r="H225" s="41">
        <v>5088</v>
      </c>
      <c r="I225" s="41">
        <v>3582</v>
      </c>
      <c r="J225" s="136">
        <v>3598220.4299999997</v>
      </c>
      <c r="K225" s="136">
        <v>761882.88</v>
      </c>
      <c r="L225" s="136">
        <v>4215737.13</v>
      </c>
      <c r="M225" s="136">
        <v>2931971.96</v>
      </c>
      <c r="N225" s="136">
        <v>324868.8</v>
      </c>
      <c r="O225" s="136">
        <v>287634.59999999998</v>
      </c>
      <c r="P225" s="178">
        <f>SUM(Ikärakenne[[#This Row],[Ikä 0–5]:[Ikä 18-64]])</f>
        <v>12120315.799999999</v>
      </c>
    </row>
    <row r="226" spans="1:16">
      <c r="A226" s="127">
        <v>707</v>
      </c>
      <c r="B226" s="124" t="s">
        <v>231</v>
      </c>
      <c r="C226" s="38">
        <f>SUM(Ikärakenne[[#This Row],[0–5-vuotiaat]:[16 vuotta täyttäneet]])</f>
        <v>1902</v>
      </c>
      <c r="D226" s="41">
        <v>29</v>
      </c>
      <c r="E226" s="41">
        <v>7</v>
      </c>
      <c r="F226" s="41">
        <v>72</v>
      </c>
      <c r="G226" s="41">
        <v>39</v>
      </c>
      <c r="H226" s="41">
        <v>1755</v>
      </c>
      <c r="I226" s="41">
        <v>842</v>
      </c>
      <c r="J226" s="136">
        <v>236617.66999999998</v>
      </c>
      <c r="K226" s="136">
        <v>60604.32</v>
      </c>
      <c r="L226" s="136">
        <v>520639.92</v>
      </c>
      <c r="M226" s="136">
        <v>484520.79000000004</v>
      </c>
      <c r="N226" s="136">
        <v>112056.75</v>
      </c>
      <c r="O226" s="136">
        <v>67612.599999999991</v>
      </c>
      <c r="P226" s="178">
        <f>SUM(Ikärakenne[[#This Row],[Ikä 0–5]:[Ikä 18-64]])</f>
        <v>1482052.05</v>
      </c>
    </row>
    <row r="227" spans="1:16">
      <c r="A227" s="127">
        <v>710</v>
      </c>
      <c r="B227" s="124" t="s">
        <v>232</v>
      </c>
      <c r="C227" s="38">
        <f>SUM(Ikärakenne[[#This Row],[0–5-vuotiaat]:[16 vuotta täyttäneet]])</f>
        <v>27209</v>
      </c>
      <c r="D227" s="41">
        <v>1313</v>
      </c>
      <c r="E227" s="41">
        <v>231</v>
      </c>
      <c r="F227" s="41">
        <v>1599</v>
      </c>
      <c r="G227" s="41">
        <v>939</v>
      </c>
      <c r="H227" s="41">
        <v>23127</v>
      </c>
      <c r="I227" s="41">
        <v>14748</v>
      </c>
      <c r="J227" s="136">
        <v>10713068.99</v>
      </c>
      <c r="K227" s="136">
        <v>1999942.56</v>
      </c>
      <c r="L227" s="136">
        <v>11562544.889999999</v>
      </c>
      <c r="M227" s="136">
        <v>11665769.790000001</v>
      </c>
      <c r="N227" s="136">
        <v>1476658.95</v>
      </c>
      <c r="O227" s="136">
        <v>1184264.3999999999</v>
      </c>
      <c r="P227" s="178">
        <f>SUM(Ikärakenne[[#This Row],[Ikä 0–5]:[Ikä 18-64]])</f>
        <v>38602249.579999998</v>
      </c>
    </row>
    <row r="228" spans="1:16">
      <c r="A228" s="127">
        <v>729</v>
      </c>
      <c r="B228" s="124" t="s">
        <v>233</v>
      </c>
      <c r="C228" s="38">
        <f>SUM(Ikärakenne[[#This Row],[0–5-vuotiaat]:[16 vuotta täyttäneet]])</f>
        <v>8847</v>
      </c>
      <c r="D228" s="41">
        <v>332</v>
      </c>
      <c r="E228" s="41">
        <v>68</v>
      </c>
      <c r="F228" s="41">
        <v>507</v>
      </c>
      <c r="G228" s="41">
        <v>287</v>
      </c>
      <c r="H228" s="41">
        <v>7653</v>
      </c>
      <c r="I228" s="41">
        <v>4291</v>
      </c>
      <c r="J228" s="136">
        <v>2708864.36</v>
      </c>
      <c r="K228" s="136">
        <v>588727.68000000005</v>
      </c>
      <c r="L228" s="136">
        <v>3666172.77</v>
      </c>
      <c r="M228" s="136">
        <v>3565576.0700000003</v>
      </c>
      <c r="N228" s="136">
        <v>488644.05</v>
      </c>
      <c r="O228" s="136">
        <v>344567.3</v>
      </c>
      <c r="P228" s="178">
        <f>SUM(Ikärakenne[[#This Row],[Ikä 0–5]:[Ikä 18-64]])</f>
        <v>11362552.230000002</v>
      </c>
    </row>
    <row r="229" spans="1:16">
      <c r="A229" s="127">
        <v>732</v>
      </c>
      <c r="B229" s="124" t="s">
        <v>234</v>
      </c>
      <c r="C229" s="38">
        <f>SUM(Ikärakenne[[#This Row],[0–5-vuotiaat]:[16 vuotta täyttäneet]])</f>
        <v>3344</v>
      </c>
      <c r="D229" s="41">
        <v>67</v>
      </c>
      <c r="E229" s="41">
        <v>17</v>
      </c>
      <c r="F229" s="41">
        <v>120</v>
      </c>
      <c r="G229" s="41">
        <v>81</v>
      </c>
      <c r="H229" s="41">
        <v>3059</v>
      </c>
      <c r="I229" s="41">
        <v>1609</v>
      </c>
      <c r="J229" s="136">
        <v>546668.40999999992</v>
      </c>
      <c r="K229" s="136">
        <v>147181.92000000001</v>
      </c>
      <c r="L229" s="136">
        <v>867733.2</v>
      </c>
      <c r="M229" s="136">
        <v>1006312.41</v>
      </c>
      <c r="N229" s="136">
        <v>195317.15</v>
      </c>
      <c r="O229" s="136">
        <v>129202.7</v>
      </c>
      <c r="P229" s="178">
        <f>SUM(Ikärakenne[[#This Row],[Ikä 0–5]:[Ikä 18-64]])</f>
        <v>2892415.79</v>
      </c>
    </row>
    <row r="230" spans="1:16">
      <c r="A230" s="127">
        <v>734</v>
      </c>
      <c r="B230" s="124" t="s">
        <v>235</v>
      </c>
      <c r="C230" s="38">
        <f>SUM(Ikärakenne[[#This Row],[0–5-vuotiaat]:[16 vuotta täyttäneet]])</f>
        <v>51100</v>
      </c>
      <c r="D230" s="41">
        <v>2009</v>
      </c>
      <c r="E230" s="41">
        <v>392</v>
      </c>
      <c r="F230" s="41">
        <v>2975</v>
      </c>
      <c r="G230" s="41">
        <v>1833</v>
      </c>
      <c r="H230" s="41">
        <v>43891</v>
      </c>
      <c r="I230" s="41">
        <v>27641</v>
      </c>
      <c r="J230" s="136">
        <v>16391893.069999998</v>
      </c>
      <c r="K230" s="136">
        <v>3393841.92</v>
      </c>
      <c r="L230" s="136">
        <v>21512552.25</v>
      </c>
      <c r="M230" s="136">
        <v>22772477.130000003</v>
      </c>
      <c r="N230" s="136">
        <v>2802440.35</v>
      </c>
      <c r="O230" s="136">
        <v>2219572.2999999998</v>
      </c>
      <c r="P230" s="178">
        <f>SUM(Ikärakenne[[#This Row],[Ikä 0–5]:[Ikä 18-64]])</f>
        <v>69092777.019999996</v>
      </c>
    </row>
    <row r="231" spans="1:16">
      <c r="A231" s="127">
        <v>738</v>
      </c>
      <c r="B231" s="124" t="s">
        <v>236</v>
      </c>
      <c r="C231" s="38">
        <f>SUM(Ikärakenne[[#This Row],[0–5-vuotiaat]:[16 vuotta täyttäneet]])</f>
        <v>2974</v>
      </c>
      <c r="D231" s="41">
        <v>136</v>
      </c>
      <c r="E231" s="41">
        <v>22</v>
      </c>
      <c r="F231" s="41">
        <v>208</v>
      </c>
      <c r="G231" s="41">
        <v>122</v>
      </c>
      <c r="H231" s="41">
        <v>2486</v>
      </c>
      <c r="I231" s="41">
        <v>1615</v>
      </c>
      <c r="J231" s="136">
        <v>1109655.28</v>
      </c>
      <c r="K231" s="136">
        <v>190470.72</v>
      </c>
      <c r="L231" s="136">
        <v>1504070.88</v>
      </c>
      <c r="M231" s="136">
        <v>1515680.4200000002</v>
      </c>
      <c r="N231" s="136">
        <v>158731.1</v>
      </c>
      <c r="O231" s="136">
        <v>129684.5</v>
      </c>
      <c r="P231" s="178">
        <f>SUM(Ikärakenne[[#This Row],[Ikä 0–5]:[Ikä 18-64]])</f>
        <v>4608292.8999999994</v>
      </c>
    </row>
    <row r="232" spans="1:16">
      <c r="A232" s="127">
        <v>739</v>
      </c>
      <c r="B232" s="124" t="s">
        <v>237</v>
      </c>
      <c r="C232" s="38">
        <f>SUM(Ikärakenne[[#This Row],[0–5-vuotiaat]:[16 vuotta täyttäneet]])</f>
        <v>3216</v>
      </c>
      <c r="D232" s="41">
        <v>112</v>
      </c>
      <c r="E232" s="41">
        <v>16</v>
      </c>
      <c r="F232" s="41">
        <v>161</v>
      </c>
      <c r="G232" s="41">
        <v>97</v>
      </c>
      <c r="H232" s="41">
        <v>2830</v>
      </c>
      <c r="I232" s="41">
        <v>1490</v>
      </c>
      <c r="J232" s="136">
        <v>913833.76</v>
      </c>
      <c r="K232" s="136">
        <v>138524.16</v>
      </c>
      <c r="L232" s="136">
        <v>1164208.71</v>
      </c>
      <c r="M232" s="136">
        <v>1205090.1700000002</v>
      </c>
      <c r="N232" s="136">
        <v>180695.5</v>
      </c>
      <c r="O232" s="136">
        <v>119647</v>
      </c>
      <c r="P232" s="178">
        <f>SUM(Ikärakenne[[#This Row],[Ikä 0–5]:[Ikä 18-64]])</f>
        <v>3721999.3</v>
      </c>
    </row>
    <row r="233" spans="1:16">
      <c r="A233" s="127">
        <v>740</v>
      </c>
      <c r="B233" s="124" t="s">
        <v>238</v>
      </c>
      <c r="C233" s="38">
        <f>SUM(Ikärakenne[[#This Row],[0–5-vuotiaat]:[16 vuotta täyttäneet]])</f>
        <v>31843</v>
      </c>
      <c r="D233" s="41">
        <v>970</v>
      </c>
      <c r="E233" s="41">
        <v>205</v>
      </c>
      <c r="F233" s="41">
        <v>1583</v>
      </c>
      <c r="G233" s="41">
        <v>954</v>
      </c>
      <c r="H233" s="41">
        <v>28131</v>
      </c>
      <c r="I233" s="41">
        <v>16384</v>
      </c>
      <c r="J233" s="136">
        <v>7914453.0999999996</v>
      </c>
      <c r="K233" s="136">
        <v>1774840.8</v>
      </c>
      <c r="L233" s="136">
        <v>11446847.129999999</v>
      </c>
      <c r="M233" s="136">
        <v>11852123.940000001</v>
      </c>
      <c r="N233" s="136">
        <v>1796164.35</v>
      </c>
      <c r="O233" s="136">
        <v>1315635.2</v>
      </c>
      <c r="P233" s="178">
        <f>SUM(Ikärakenne[[#This Row],[Ikä 0–5]:[Ikä 18-64]])</f>
        <v>36100064.520000003</v>
      </c>
    </row>
    <row r="234" spans="1:16">
      <c r="A234" s="127">
        <v>742</v>
      </c>
      <c r="B234" s="124" t="s">
        <v>239</v>
      </c>
      <c r="C234" s="38">
        <f>SUM(Ikärakenne[[#This Row],[0–5-vuotiaat]:[16 vuotta täyttäneet]])</f>
        <v>978</v>
      </c>
      <c r="D234" s="41">
        <v>42</v>
      </c>
      <c r="E234" s="41">
        <v>6</v>
      </c>
      <c r="F234" s="41">
        <v>40</v>
      </c>
      <c r="G234" s="41">
        <v>21</v>
      </c>
      <c r="H234" s="41">
        <v>869</v>
      </c>
      <c r="I234" s="41">
        <v>508</v>
      </c>
      <c r="J234" s="136">
        <v>342687.66</v>
      </c>
      <c r="K234" s="136">
        <v>51946.559999999998</v>
      </c>
      <c r="L234" s="136">
        <v>289244.39999999997</v>
      </c>
      <c r="M234" s="136">
        <v>260895.81</v>
      </c>
      <c r="N234" s="136">
        <v>55485.65</v>
      </c>
      <c r="O234" s="136">
        <v>40792.400000000001</v>
      </c>
      <c r="P234" s="178">
        <f>SUM(Ikärakenne[[#This Row],[Ikä 0–5]:[Ikä 18-64]])</f>
        <v>1041052.48</v>
      </c>
    </row>
    <row r="235" spans="1:16">
      <c r="A235" s="127">
        <v>743</v>
      </c>
      <c r="B235" s="124" t="s">
        <v>240</v>
      </c>
      <c r="C235" s="38">
        <f>SUM(Ikärakenne[[#This Row],[0–5-vuotiaat]:[16 vuotta täyttäneet]])</f>
        <v>66160</v>
      </c>
      <c r="D235" s="41">
        <v>3827</v>
      </c>
      <c r="E235" s="41">
        <v>724</v>
      </c>
      <c r="F235" s="41">
        <v>4797</v>
      </c>
      <c r="G235" s="41">
        <v>2393</v>
      </c>
      <c r="H235" s="41">
        <v>54419</v>
      </c>
      <c r="I235" s="41">
        <v>39090</v>
      </c>
      <c r="J235" s="136">
        <v>31225373.209999997</v>
      </c>
      <c r="K235" s="136">
        <v>6268218.2400000002</v>
      </c>
      <c r="L235" s="136">
        <v>34687634.670000002</v>
      </c>
      <c r="M235" s="136">
        <v>29729698.73</v>
      </c>
      <c r="N235" s="136">
        <v>3474653.15</v>
      </c>
      <c r="O235" s="136">
        <v>3138927</v>
      </c>
      <c r="P235" s="178">
        <f>SUM(Ikärakenne[[#This Row],[Ikä 0–5]:[Ikä 18-64]])</f>
        <v>108524505.00000001</v>
      </c>
    </row>
    <row r="236" spans="1:16">
      <c r="A236" s="127">
        <v>746</v>
      </c>
      <c r="B236" s="124" t="s">
        <v>241</v>
      </c>
      <c r="C236" s="38">
        <f>SUM(Ikärakenne[[#This Row],[0–5-vuotiaat]:[16 vuotta täyttäneet]])</f>
        <v>4713</v>
      </c>
      <c r="D236" s="41">
        <v>331</v>
      </c>
      <c r="E236" s="41">
        <v>73</v>
      </c>
      <c r="F236" s="41">
        <v>480</v>
      </c>
      <c r="G236" s="41">
        <v>300</v>
      </c>
      <c r="H236" s="41">
        <v>3529</v>
      </c>
      <c r="I236" s="41">
        <v>2384</v>
      </c>
      <c r="J236" s="136">
        <v>2700705.13</v>
      </c>
      <c r="K236" s="136">
        <v>632016.48</v>
      </c>
      <c r="L236" s="136">
        <v>3470932.8</v>
      </c>
      <c r="M236" s="136">
        <v>3727083</v>
      </c>
      <c r="N236" s="136">
        <v>225326.65</v>
      </c>
      <c r="O236" s="136">
        <v>191435.19999999998</v>
      </c>
      <c r="P236" s="178">
        <f>SUM(Ikärakenne[[#This Row],[Ikä 0–5]:[Ikä 18-64]])</f>
        <v>10947499.26</v>
      </c>
    </row>
    <row r="237" spans="1:16">
      <c r="A237" s="127">
        <v>747</v>
      </c>
      <c r="B237" s="124" t="s">
        <v>242</v>
      </c>
      <c r="C237" s="38">
        <f>SUM(Ikärakenne[[#This Row],[0–5-vuotiaat]:[16 vuotta täyttäneet]])</f>
        <v>1283</v>
      </c>
      <c r="D237" s="41">
        <v>39</v>
      </c>
      <c r="E237" s="41">
        <v>8</v>
      </c>
      <c r="F237" s="41">
        <v>66</v>
      </c>
      <c r="G237" s="41">
        <v>33</v>
      </c>
      <c r="H237" s="41">
        <v>1137</v>
      </c>
      <c r="I237" s="41">
        <v>593</v>
      </c>
      <c r="J237" s="136">
        <v>318209.96999999997</v>
      </c>
      <c r="K237" s="136">
        <v>69262.080000000002</v>
      </c>
      <c r="L237" s="136">
        <v>477253.25999999995</v>
      </c>
      <c r="M237" s="136">
        <v>409979.13</v>
      </c>
      <c r="N237" s="136">
        <v>72597.45</v>
      </c>
      <c r="O237" s="136">
        <v>47617.9</v>
      </c>
      <c r="P237" s="178">
        <f>SUM(Ikärakenne[[#This Row],[Ikä 0–5]:[Ikä 18-64]])</f>
        <v>1394919.7899999998</v>
      </c>
    </row>
    <row r="238" spans="1:16">
      <c r="A238" s="127">
        <v>748</v>
      </c>
      <c r="B238" s="124" t="s">
        <v>243</v>
      </c>
      <c r="C238" s="38">
        <f>SUM(Ikärakenne[[#This Row],[0–5-vuotiaat]:[16 vuotta täyttäneet]])</f>
        <v>4837</v>
      </c>
      <c r="D238" s="41">
        <v>304</v>
      </c>
      <c r="E238" s="41">
        <v>68</v>
      </c>
      <c r="F238" s="41">
        <v>429</v>
      </c>
      <c r="G238" s="41">
        <v>251</v>
      </c>
      <c r="H238" s="41">
        <v>3785</v>
      </c>
      <c r="I238" s="41">
        <v>2333</v>
      </c>
      <c r="J238" s="136">
        <v>2480405.92</v>
      </c>
      <c r="K238" s="136">
        <v>588727.68000000005</v>
      </c>
      <c r="L238" s="136">
        <v>3102146.19</v>
      </c>
      <c r="M238" s="136">
        <v>3118326.1100000003</v>
      </c>
      <c r="N238" s="136">
        <v>241672.25</v>
      </c>
      <c r="O238" s="136">
        <v>187339.9</v>
      </c>
      <c r="P238" s="178">
        <f>SUM(Ikärakenne[[#This Row],[Ikä 0–5]:[Ikä 18-64]])</f>
        <v>9718618.0500000007</v>
      </c>
    </row>
    <row r="239" spans="1:16">
      <c r="A239" s="127">
        <v>749</v>
      </c>
      <c r="B239" s="124" t="s">
        <v>244</v>
      </c>
      <c r="C239" s="38">
        <f>SUM(Ikärakenne[[#This Row],[0–5-vuotiaat]:[16 vuotta täyttäneet]])</f>
        <v>21290</v>
      </c>
      <c r="D239" s="41">
        <v>1243</v>
      </c>
      <c r="E239" s="41">
        <v>254</v>
      </c>
      <c r="F239" s="41">
        <v>1833</v>
      </c>
      <c r="G239" s="41">
        <v>923</v>
      </c>
      <c r="H239" s="41">
        <v>17037</v>
      </c>
      <c r="I239" s="41">
        <v>11609</v>
      </c>
      <c r="J239" s="136">
        <v>10141922.889999999</v>
      </c>
      <c r="K239" s="136">
        <v>2199071.04</v>
      </c>
      <c r="L239" s="136">
        <v>13254624.629999999</v>
      </c>
      <c r="M239" s="136">
        <v>11466992.030000001</v>
      </c>
      <c r="N239" s="136">
        <v>1087812.45</v>
      </c>
      <c r="O239" s="136">
        <v>932202.7</v>
      </c>
      <c r="P239" s="178">
        <f>SUM(Ikärakenne[[#This Row],[Ikä 0–5]:[Ikä 18-64]])</f>
        <v>39082625.74000001</v>
      </c>
    </row>
    <row r="240" spans="1:16">
      <c r="A240" s="127">
        <v>751</v>
      </c>
      <c r="B240" s="124" t="s">
        <v>245</v>
      </c>
      <c r="C240" s="38">
        <f>SUM(Ikärakenne[[#This Row],[0–5-vuotiaat]:[16 vuotta täyttäneet]])</f>
        <v>2828</v>
      </c>
      <c r="D240" s="41">
        <v>94</v>
      </c>
      <c r="E240" s="41">
        <v>24</v>
      </c>
      <c r="F240" s="41">
        <v>165</v>
      </c>
      <c r="G240" s="41">
        <v>100</v>
      </c>
      <c r="H240" s="41">
        <v>2445</v>
      </c>
      <c r="I240" s="41">
        <v>1353</v>
      </c>
      <c r="J240" s="136">
        <v>766967.62</v>
      </c>
      <c r="K240" s="136">
        <v>207786.23999999999</v>
      </c>
      <c r="L240" s="136">
        <v>1193133.1499999999</v>
      </c>
      <c r="M240" s="136">
        <v>1242361</v>
      </c>
      <c r="N240" s="136">
        <v>156113.25</v>
      </c>
      <c r="O240" s="136">
        <v>108645.9</v>
      </c>
      <c r="P240" s="178">
        <f>SUM(Ikärakenne[[#This Row],[Ikä 0–5]:[Ikä 18-64]])</f>
        <v>3675007.1599999997</v>
      </c>
    </row>
    <row r="241" spans="1:16">
      <c r="A241" s="127">
        <v>753</v>
      </c>
      <c r="B241" s="124" t="s">
        <v>246</v>
      </c>
      <c r="C241" s="38">
        <f>SUM(Ikärakenne[[#This Row],[0–5-vuotiaat]:[16 vuotta täyttäneet]])</f>
        <v>22595</v>
      </c>
      <c r="D241" s="41">
        <v>1327</v>
      </c>
      <c r="E241" s="41">
        <v>239</v>
      </c>
      <c r="F241" s="41">
        <v>1693</v>
      </c>
      <c r="G241" s="41">
        <v>939</v>
      </c>
      <c r="H241" s="41">
        <v>18397</v>
      </c>
      <c r="I241" s="41">
        <v>13591</v>
      </c>
      <c r="J241" s="136">
        <v>10827298.209999999</v>
      </c>
      <c r="K241" s="136">
        <v>2069204.6400000001</v>
      </c>
      <c r="L241" s="136">
        <v>12242269.229999999</v>
      </c>
      <c r="M241" s="136">
        <v>11665769.790000001</v>
      </c>
      <c r="N241" s="136">
        <v>1174648.45</v>
      </c>
      <c r="O241" s="136">
        <v>1091357.3</v>
      </c>
      <c r="P241" s="178">
        <f>SUM(Ikärakenne[[#This Row],[Ikä 0–5]:[Ikä 18-64]])</f>
        <v>39070547.619999997</v>
      </c>
    </row>
    <row r="242" spans="1:16">
      <c r="A242" s="127">
        <v>755</v>
      </c>
      <c r="B242" s="124" t="s">
        <v>247</v>
      </c>
      <c r="C242" s="38">
        <f>SUM(Ikärakenne[[#This Row],[0–5-vuotiaat]:[16 vuotta täyttäneet]])</f>
        <v>6158</v>
      </c>
      <c r="D242" s="41">
        <v>295</v>
      </c>
      <c r="E242" s="41">
        <v>65</v>
      </c>
      <c r="F242" s="41">
        <v>441</v>
      </c>
      <c r="G242" s="41">
        <v>272</v>
      </c>
      <c r="H242" s="41">
        <v>5085</v>
      </c>
      <c r="I242" s="41">
        <v>3587</v>
      </c>
      <c r="J242" s="136">
        <v>2406972.85</v>
      </c>
      <c r="K242" s="136">
        <v>562754.4</v>
      </c>
      <c r="L242" s="136">
        <v>3188919.51</v>
      </c>
      <c r="M242" s="136">
        <v>3379221.92</v>
      </c>
      <c r="N242" s="136">
        <v>324677.25</v>
      </c>
      <c r="O242" s="136">
        <v>288036.09999999998</v>
      </c>
      <c r="P242" s="178">
        <f>SUM(Ikärakenne[[#This Row],[Ikä 0–5]:[Ikä 18-64]])</f>
        <v>10150582.029999999</v>
      </c>
    </row>
    <row r="243" spans="1:16">
      <c r="A243" s="127">
        <v>758</v>
      </c>
      <c r="B243" s="124" t="s">
        <v>248</v>
      </c>
      <c r="C243" s="38">
        <f>SUM(Ikärakenne[[#This Row],[0–5-vuotiaat]:[16 vuotta täyttäneet]])</f>
        <v>8126</v>
      </c>
      <c r="D243" s="41">
        <v>325</v>
      </c>
      <c r="E243" s="41">
        <v>61</v>
      </c>
      <c r="F243" s="41">
        <v>496</v>
      </c>
      <c r="G243" s="41">
        <v>256</v>
      </c>
      <c r="H243" s="41">
        <v>6988</v>
      </c>
      <c r="I243" s="41">
        <v>4450</v>
      </c>
      <c r="J243" s="136">
        <v>2651749.75</v>
      </c>
      <c r="K243" s="136">
        <v>528123.36</v>
      </c>
      <c r="L243" s="136">
        <v>3586630.56</v>
      </c>
      <c r="M243" s="136">
        <v>3180444.16</v>
      </c>
      <c r="N243" s="136">
        <v>446183.8</v>
      </c>
      <c r="O243" s="136">
        <v>357335</v>
      </c>
      <c r="P243" s="178">
        <f>SUM(Ikärakenne[[#This Row],[Ikä 0–5]:[Ikä 18-64]])</f>
        <v>10750466.630000001</v>
      </c>
    </row>
    <row r="244" spans="1:16">
      <c r="A244" s="127">
        <v>759</v>
      </c>
      <c r="B244" s="124" t="s">
        <v>249</v>
      </c>
      <c r="C244" s="38">
        <f>SUM(Ikärakenne[[#This Row],[0–5-vuotiaat]:[16 vuotta täyttäneet]])</f>
        <v>1873</v>
      </c>
      <c r="D244" s="41">
        <v>89</v>
      </c>
      <c r="E244" s="41">
        <v>16</v>
      </c>
      <c r="F244" s="41">
        <v>149</v>
      </c>
      <c r="G244" s="41">
        <v>51</v>
      </c>
      <c r="H244" s="41">
        <v>1568</v>
      </c>
      <c r="I244" s="41">
        <v>905</v>
      </c>
      <c r="J244" s="136">
        <v>726171.47</v>
      </c>
      <c r="K244" s="136">
        <v>138524.16</v>
      </c>
      <c r="L244" s="136">
        <v>1077435.3899999999</v>
      </c>
      <c r="M244" s="136">
        <v>633604.11</v>
      </c>
      <c r="N244" s="136">
        <v>100116.8</v>
      </c>
      <c r="O244" s="136">
        <v>72671.5</v>
      </c>
      <c r="P244" s="178">
        <f>SUM(Ikärakenne[[#This Row],[Ikä 0–5]:[Ikä 18-64]])</f>
        <v>2748523.4299999997</v>
      </c>
    </row>
    <row r="245" spans="1:16">
      <c r="A245" s="127">
        <v>761</v>
      </c>
      <c r="B245" s="124" t="s">
        <v>250</v>
      </c>
      <c r="C245" s="38">
        <f>SUM(Ikärakenne[[#This Row],[0–5-vuotiaat]:[16 vuotta täyttäneet]])</f>
        <v>8410</v>
      </c>
      <c r="D245" s="41">
        <v>322</v>
      </c>
      <c r="E245" s="41">
        <v>64</v>
      </c>
      <c r="F245" s="41">
        <v>513</v>
      </c>
      <c r="G245" s="41">
        <v>254</v>
      </c>
      <c r="H245" s="41">
        <v>7257</v>
      </c>
      <c r="I245" s="41">
        <v>4187</v>
      </c>
      <c r="J245" s="136">
        <v>2627272.06</v>
      </c>
      <c r="K245" s="136">
        <v>554096.64000000001</v>
      </c>
      <c r="L245" s="136">
        <v>3709559.4299999997</v>
      </c>
      <c r="M245" s="136">
        <v>3155596.94</v>
      </c>
      <c r="N245" s="136">
        <v>463359.45</v>
      </c>
      <c r="O245" s="136">
        <v>336216.1</v>
      </c>
      <c r="P245" s="178">
        <f>SUM(Ikärakenne[[#This Row],[Ikä 0–5]:[Ikä 18-64]])</f>
        <v>10846100.619999999</v>
      </c>
    </row>
    <row r="246" spans="1:16">
      <c r="A246" s="127">
        <v>762</v>
      </c>
      <c r="B246" s="124" t="s">
        <v>251</v>
      </c>
      <c r="C246" s="38">
        <f>SUM(Ikärakenne[[#This Row],[0–5-vuotiaat]:[16 vuotta täyttäneet]])</f>
        <v>3637</v>
      </c>
      <c r="D246" s="41">
        <v>121</v>
      </c>
      <c r="E246" s="41">
        <v>27</v>
      </c>
      <c r="F246" s="41">
        <v>190</v>
      </c>
      <c r="G246" s="41">
        <v>115</v>
      </c>
      <c r="H246" s="41">
        <v>3184</v>
      </c>
      <c r="I246" s="41">
        <v>1743</v>
      </c>
      <c r="J246" s="136">
        <v>987266.83</v>
      </c>
      <c r="K246" s="136">
        <v>233759.52000000002</v>
      </c>
      <c r="L246" s="136">
        <v>1373910.9</v>
      </c>
      <c r="M246" s="136">
        <v>1428715.1500000001</v>
      </c>
      <c r="N246" s="136">
        <v>203298.4</v>
      </c>
      <c r="O246" s="136">
        <v>139962.9</v>
      </c>
      <c r="P246" s="178">
        <f>SUM(Ikärakenne[[#This Row],[Ikä 0–5]:[Ikä 18-64]])</f>
        <v>4366913.7000000011</v>
      </c>
    </row>
    <row r="247" spans="1:16">
      <c r="A247" s="127">
        <v>765</v>
      </c>
      <c r="B247" s="124" t="s">
        <v>252</v>
      </c>
      <c r="C247" s="38">
        <f>SUM(Ikärakenne[[#This Row],[0–5-vuotiaat]:[16 vuotta täyttäneet]])</f>
        <v>10274</v>
      </c>
      <c r="D247" s="41">
        <v>452</v>
      </c>
      <c r="E247" s="41">
        <v>108</v>
      </c>
      <c r="F247" s="41">
        <v>690</v>
      </c>
      <c r="G247" s="41">
        <v>365</v>
      </c>
      <c r="H247" s="41">
        <v>8659</v>
      </c>
      <c r="I247" s="41">
        <v>5481</v>
      </c>
      <c r="J247" s="136">
        <v>3687971.96</v>
      </c>
      <c r="K247" s="136">
        <v>935038.08000000007</v>
      </c>
      <c r="L247" s="136">
        <v>4989465.8999999994</v>
      </c>
      <c r="M247" s="136">
        <v>4534617.6500000004</v>
      </c>
      <c r="N247" s="136">
        <v>552877.15</v>
      </c>
      <c r="O247" s="136">
        <v>440124.3</v>
      </c>
      <c r="P247" s="178">
        <f>SUM(Ikärakenne[[#This Row],[Ikä 0–5]:[Ikä 18-64]])</f>
        <v>15140095.040000001</v>
      </c>
    </row>
    <row r="248" spans="1:16">
      <c r="A248" s="127">
        <v>768</v>
      </c>
      <c r="B248" s="124" t="s">
        <v>253</v>
      </c>
      <c r="C248" s="38">
        <f>SUM(Ikärakenne[[#This Row],[0–5-vuotiaat]:[16 vuotta täyttäneet]])</f>
        <v>2368</v>
      </c>
      <c r="D248" s="41">
        <v>66</v>
      </c>
      <c r="E248" s="41">
        <v>18</v>
      </c>
      <c r="F248" s="41">
        <v>102</v>
      </c>
      <c r="G248" s="41">
        <v>44</v>
      </c>
      <c r="H248" s="41">
        <v>2138</v>
      </c>
      <c r="I248" s="41">
        <v>1093</v>
      </c>
      <c r="J248" s="136">
        <v>538509.17999999993</v>
      </c>
      <c r="K248" s="136">
        <v>155839.67999999999</v>
      </c>
      <c r="L248" s="136">
        <v>737573.22</v>
      </c>
      <c r="M248" s="136">
        <v>546638.84000000008</v>
      </c>
      <c r="N248" s="136">
        <v>136511.30000000002</v>
      </c>
      <c r="O248" s="136">
        <v>87767.9</v>
      </c>
      <c r="P248" s="178">
        <f>SUM(Ikärakenne[[#This Row],[Ikä 0–5]:[Ikä 18-64]])</f>
        <v>2202840.1199999996</v>
      </c>
    </row>
    <row r="249" spans="1:16">
      <c r="A249" s="127">
        <v>777</v>
      </c>
      <c r="B249" s="124" t="s">
        <v>254</v>
      </c>
      <c r="C249" s="38">
        <f>SUM(Ikärakenne[[#This Row],[0–5-vuotiaat]:[16 vuotta täyttäneet]])</f>
        <v>7172</v>
      </c>
      <c r="D249" s="41">
        <v>191</v>
      </c>
      <c r="E249" s="41">
        <v>40</v>
      </c>
      <c r="F249" s="41">
        <v>336</v>
      </c>
      <c r="G249" s="41">
        <v>167</v>
      </c>
      <c r="H249" s="41">
        <v>6438</v>
      </c>
      <c r="I249" s="41">
        <v>3347</v>
      </c>
      <c r="J249" s="136">
        <v>1558412.93</v>
      </c>
      <c r="K249" s="136">
        <v>346310.40000000002</v>
      </c>
      <c r="L249" s="136">
        <v>2429652.96</v>
      </c>
      <c r="M249" s="136">
        <v>2074742.87</v>
      </c>
      <c r="N249" s="136">
        <v>411066.3</v>
      </c>
      <c r="O249" s="136">
        <v>268764.09999999998</v>
      </c>
      <c r="P249" s="178">
        <f>SUM(Ikärakenne[[#This Row],[Ikä 0–5]:[Ikä 18-64]])</f>
        <v>7088949.5599999996</v>
      </c>
    </row>
    <row r="250" spans="1:16">
      <c r="A250" s="127">
        <v>778</v>
      </c>
      <c r="B250" s="124" t="s">
        <v>255</v>
      </c>
      <c r="C250" s="38">
        <f>SUM(Ikärakenne[[#This Row],[0–5-vuotiaat]:[16 vuotta täyttäneet]])</f>
        <v>6708</v>
      </c>
      <c r="D250" s="41">
        <v>254</v>
      </c>
      <c r="E250" s="41">
        <v>51</v>
      </c>
      <c r="F250" s="41">
        <v>416</v>
      </c>
      <c r="G250" s="41">
        <v>219</v>
      </c>
      <c r="H250" s="41">
        <v>5768</v>
      </c>
      <c r="I250" s="41">
        <v>3380</v>
      </c>
      <c r="J250" s="136">
        <v>2072444.42</v>
      </c>
      <c r="K250" s="136">
        <v>441545.76</v>
      </c>
      <c r="L250" s="136">
        <v>3008141.76</v>
      </c>
      <c r="M250" s="136">
        <v>2720770.5900000003</v>
      </c>
      <c r="N250" s="136">
        <v>368286.8</v>
      </c>
      <c r="O250" s="136">
        <v>271414</v>
      </c>
      <c r="P250" s="178">
        <f>SUM(Ikärakenne[[#This Row],[Ikä 0–5]:[Ikä 18-64]])</f>
        <v>8882603.3300000001</v>
      </c>
    </row>
    <row r="251" spans="1:16">
      <c r="A251" s="127">
        <v>781</v>
      </c>
      <c r="B251" s="124" t="s">
        <v>256</v>
      </c>
      <c r="C251" s="38">
        <f>SUM(Ikärakenne[[#This Row],[0–5-vuotiaat]:[16 vuotta täyttäneet]])</f>
        <v>3496</v>
      </c>
      <c r="D251" s="41">
        <v>81</v>
      </c>
      <c r="E251" s="41">
        <v>17</v>
      </c>
      <c r="F251" s="41">
        <v>137</v>
      </c>
      <c r="G251" s="41">
        <v>68</v>
      </c>
      <c r="H251" s="41">
        <v>3193</v>
      </c>
      <c r="I251" s="41">
        <v>1537</v>
      </c>
      <c r="J251" s="136">
        <v>660897.63</v>
      </c>
      <c r="K251" s="136">
        <v>147181.92000000001</v>
      </c>
      <c r="L251" s="136">
        <v>990662.07</v>
      </c>
      <c r="M251" s="136">
        <v>844805.48</v>
      </c>
      <c r="N251" s="136">
        <v>203873.05000000002</v>
      </c>
      <c r="O251" s="136">
        <v>123421.09999999999</v>
      </c>
      <c r="P251" s="178">
        <f>SUM(Ikärakenne[[#This Row],[Ikä 0–5]:[Ikä 18-64]])</f>
        <v>2970841.25</v>
      </c>
    </row>
    <row r="252" spans="1:16">
      <c r="A252" s="127">
        <v>783</v>
      </c>
      <c r="B252" s="124" t="s">
        <v>257</v>
      </c>
      <c r="C252" s="38">
        <f>SUM(Ikärakenne[[#This Row],[0–5-vuotiaat]:[16 vuotta täyttäneet]])</f>
        <v>6377</v>
      </c>
      <c r="D252" s="41">
        <v>233</v>
      </c>
      <c r="E252" s="41">
        <v>45</v>
      </c>
      <c r="F252" s="41">
        <v>373</v>
      </c>
      <c r="G252" s="41">
        <v>221</v>
      </c>
      <c r="H252" s="41">
        <v>5505</v>
      </c>
      <c r="I252" s="41">
        <v>3266</v>
      </c>
      <c r="J252" s="136">
        <v>1901100.5899999999</v>
      </c>
      <c r="K252" s="136">
        <v>389599.2</v>
      </c>
      <c r="L252" s="136">
        <v>2697204.03</v>
      </c>
      <c r="M252" s="136">
        <v>2745617.81</v>
      </c>
      <c r="N252" s="136">
        <v>351494.25</v>
      </c>
      <c r="O252" s="136">
        <v>262259.8</v>
      </c>
      <c r="P252" s="178">
        <f>SUM(Ikärakenne[[#This Row],[Ikä 0–5]:[Ikä 18-64]])</f>
        <v>8347275.6800000006</v>
      </c>
    </row>
    <row r="253" spans="1:16">
      <c r="A253" s="127">
        <v>785</v>
      </c>
      <c r="B253" s="124" t="s">
        <v>258</v>
      </c>
      <c r="C253" s="38">
        <f>SUM(Ikärakenne[[#This Row],[0–5-vuotiaat]:[16 vuotta täyttäneet]])</f>
        <v>2589</v>
      </c>
      <c r="D253" s="41">
        <v>86</v>
      </c>
      <c r="E253" s="41">
        <v>20</v>
      </c>
      <c r="F253" s="41">
        <v>135</v>
      </c>
      <c r="G253" s="41">
        <v>63</v>
      </c>
      <c r="H253" s="41">
        <v>2285</v>
      </c>
      <c r="I253" s="41">
        <v>1213</v>
      </c>
      <c r="J253" s="136">
        <v>701693.77999999991</v>
      </c>
      <c r="K253" s="136">
        <v>173155.20000000001</v>
      </c>
      <c r="L253" s="136">
        <v>976199.85</v>
      </c>
      <c r="M253" s="136">
        <v>782687.43</v>
      </c>
      <c r="N253" s="136">
        <v>145897.25</v>
      </c>
      <c r="O253" s="136">
        <v>97403.9</v>
      </c>
      <c r="P253" s="178">
        <f>SUM(Ikärakenne[[#This Row],[Ikä 0–5]:[Ikä 18-64]])</f>
        <v>2877037.41</v>
      </c>
    </row>
    <row r="254" spans="1:16">
      <c r="A254" s="127">
        <v>790</v>
      </c>
      <c r="B254" s="124" t="s">
        <v>259</v>
      </c>
      <c r="C254" s="38">
        <f>SUM(Ikärakenne[[#This Row],[0–5-vuotiaat]:[16 vuotta täyttäneet]])</f>
        <v>23515</v>
      </c>
      <c r="D254" s="41">
        <v>946</v>
      </c>
      <c r="E254" s="41">
        <v>201</v>
      </c>
      <c r="F254" s="41">
        <v>1406</v>
      </c>
      <c r="G254" s="41">
        <v>791</v>
      </c>
      <c r="H254" s="41">
        <v>20171</v>
      </c>
      <c r="I254" s="41">
        <v>12163</v>
      </c>
      <c r="J254" s="136">
        <v>7718631.5799999991</v>
      </c>
      <c r="K254" s="136">
        <v>1740209.76</v>
      </c>
      <c r="L254" s="136">
        <v>10166940.66</v>
      </c>
      <c r="M254" s="136">
        <v>9827075.5099999998</v>
      </c>
      <c r="N254" s="136">
        <v>1287918.3500000001</v>
      </c>
      <c r="O254" s="136">
        <v>976688.9</v>
      </c>
      <c r="P254" s="178">
        <f>SUM(Ikärakenne[[#This Row],[Ikä 0–5]:[Ikä 18-64]])</f>
        <v>31717464.759999998</v>
      </c>
    </row>
    <row r="255" spans="1:16">
      <c r="A255" s="127">
        <v>791</v>
      </c>
      <c r="B255" s="124" t="s">
        <v>260</v>
      </c>
      <c r="C255" s="38">
        <f>SUM(Ikärakenne[[#This Row],[0–5-vuotiaat]:[16 vuotta täyttäneet]])</f>
        <v>4931</v>
      </c>
      <c r="D255" s="41">
        <v>227</v>
      </c>
      <c r="E255" s="41">
        <v>51</v>
      </c>
      <c r="F255" s="41">
        <v>311</v>
      </c>
      <c r="G255" s="41">
        <v>178</v>
      </c>
      <c r="H255" s="41">
        <v>4164</v>
      </c>
      <c r="I255" s="41">
        <v>2445</v>
      </c>
      <c r="J255" s="136">
        <v>1852145.21</v>
      </c>
      <c r="K255" s="136">
        <v>441545.76</v>
      </c>
      <c r="L255" s="136">
        <v>2248875.21</v>
      </c>
      <c r="M255" s="136">
        <v>2211402.58</v>
      </c>
      <c r="N255" s="136">
        <v>265871.40000000002</v>
      </c>
      <c r="O255" s="136">
        <v>196333.5</v>
      </c>
      <c r="P255" s="178">
        <f>SUM(Ikärakenne[[#This Row],[Ikä 0–5]:[Ikä 18-64]])</f>
        <v>7216173.6600000001</v>
      </c>
    </row>
    <row r="256" spans="1:16">
      <c r="A256" s="127">
        <v>831</v>
      </c>
      <c r="B256" s="124" t="s">
        <v>261</v>
      </c>
      <c r="C256" s="38">
        <f>SUM(Ikärakenne[[#This Row],[0–5-vuotiaat]:[16 vuotta täyttäneet]])</f>
        <v>4625</v>
      </c>
      <c r="D256" s="41">
        <v>227</v>
      </c>
      <c r="E256" s="41">
        <v>35</v>
      </c>
      <c r="F256" s="41">
        <v>312</v>
      </c>
      <c r="G256" s="41">
        <v>157</v>
      </c>
      <c r="H256" s="41">
        <v>3894</v>
      </c>
      <c r="I256" s="41">
        <v>2443</v>
      </c>
      <c r="J256" s="136">
        <v>1852145.21</v>
      </c>
      <c r="K256" s="136">
        <v>303021.60000000003</v>
      </c>
      <c r="L256" s="136">
        <v>2256106.3199999998</v>
      </c>
      <c r="M256" s="136">
        <v>1950506.77</v>
      </c>
      <c r="N256" s="136">
        <v>248631.9</v>
      </c>
      <c r="O256" s="136">
        <v>196172.9</v>
      </c>
      <c r="P256" s="178">
        <f>SUM(Ikärakenne[[#This Row],[Ikä 0–5]:[Ikä 18-64]])</f>
        <v>6806584.7000000011</v>
      </c>
    </row>
    <row r="257" spans="1:16">
      <c r="A257" s="127">
        <v>832</v>
      </c>
      <c r="B257" s="124" t="s">
        <v>262</v>
      </c>
      <c r="C257" s="38">
        <f>SUM(Ikärakenne[[#This Row],[0–5-vuotiaat]:[16 vuotta täyttäneet]])</f>
        <v>3731</v>
      </c>
      <c r="D257" s="41">
        <v>163</v>
      </c>
      <c r="E257" s="41">
        <v>37</v>
      </c>
      <c r="F257" s="41">
        <v>209</v>
      </c>
      <c r="G257" s="41">
        <v>162</v>
      </c>
      <c r="H257" s="41">
        <v>3160</v>
      </c>
      <c r="I257" s="41">
        <v>1818</v>
      </c>
      <c r="J257" s="136">
        <v>1329954.49</v>
      </c>
      <c r="K257" s="136">
        <v>320337.12</v>
      </c>
      <c r="L257" s="136">
        <v>1511301.99</v>
      </c>
      <c r="M257" s="136">
        <v>2012624.82</v>
      </c>
      <c r="N257" s="136">
        <v>201766</v>
      </c>
      <c r="O257" s="136">
        <v>145985.4</v>
      </c>
      <c r="P257" s="178">
        <f>SUM(Ikärakenne[[#This Row],[Ikä 0–5]:[Ikä 18-64]])</f>
        <v>5521969.8200000003</v>
      </c>
    </row>
    <row r="258" spans="1:16">
      <c r="A258" s="127">
        <v>833</v>
      </c>
      <c r="B258" s="124" t="s">
        <v>263</v>
      </c>
      <c r="C258" s="38">
        <f>SUM(Ikärakenne[[#This Row],[0–5-vuotiaat]:[16 vuotta täyttäneet]])</f>
        <v>1705</v>
      </c>
      <c r="D258" s="41">
        <v>71</v>
      </c>
      <c r="E258" s="41">
        <v>14</v>
      </c>
      <c r="F258" s="41">
        <v>98</v>
      </c>
      <c r="G258" s="41">
        <v>54</v>
      </c>
      <c r="H258" s="41">
        <v>1468</v>
      </c>
      <c r="I258" s="41">
        <v>830</v>
      </c>
      <c r="J258" s="136">
        <v>579305.32999999996</v>
      </c>
      <c r="K258" s="136">
        <v>121208.64</v>
      </c>
      <c r="L258" s="136">
        <v>708648.77999999991</v>
      </c>
      <c r="M258" s="136">
        <v>670874.94000000006</v>
      </c>
      <c r="N258" s="136">
        <v>93731.8</v>
      </c>
      <c r="O258" s="136">
        <v>66649</v>
      </c>
      <c r="P258" s="178">
        <f>SUM(Ikärakenne[[#This Row],[Ikä 0–5]:[Ikä 18-64]])</f>
        <v>2240418.4899999998</v>
      </c>
    </row>
    <row r="259" spans="1:16">
      <c r="A259" s="127">
        <v>834</v>
      </c>
      <c r="B259" s="124" t="s">
        <v>264</v>
      </c>
      <c r="C259" s="38">
        <f>SUM(Ikärakenne[[#This Row],[0–5-vuotiaat]:[16 vuotta täyttäneet]])</f>
        <v>5844</v>
      </c>
      <c r="D259" s="41">
        <v>253</v>
      </c>
      <c r="E259" s="41">
        <v>43</v>
      </c>
      <c r="F259" s="41">
        <v>332</v>
      </c>
      <c r="G259" s="41">
        <v>222</v>
      </c>
      <c r="H259" s="41">
        <v>4994</v>
      </c>
      <c r="I259" s="41">
        <v>3129</v>
      </c>
      <c r="J259" s="136">
        <v>2064285.19</v>
      </c>
      <c r="K259" s="136">
        <v>372283.68</v>
      </c>
      <c r="L259" s="136">
        <v>2400728.52</v>
      </c>
      <c r="M259" s="136">
        <v>2758041.42</v>
      </c>
      <c r="N259" s="136">
        <v>318866.90000000002</v>
      </c>
      <c r="O259" s="136">
        <v>251258.69999999998</v>
      </c>
      <c r="P259" s="178">
        <f>SUM(Ikärakenne[[#This Row],[Ikä 0–5]:[Ikä 18-64]])</f>
        <v>8165464.4100000011</v>
      </c>
    </row>
    <row r="260" spans="1:16">
      <c r="A260" s="127">
        <v>837</v>
      </c>
      <c r="B260" s="124" t="s">
        <v>265</v>
      </c>
      <c r="C260" s="38">
        <f>SUM(Ikärakenne[[#This Row],[0–5-vuotiaat]:[16 vuotta täyttäneet]])</f>
        <v>255050</v>
      </c>
      <c r="D260" s="41">
        <v>12144</v>
      </c>
      <c r="E260" s="41">
        <v>2018</v>
      </c>
      <c r="F260" s="41">
        <v>13506</v>
      </c>
      <c r="G260" s="41">
        <v>6681</v>
      </c>
      <c r="H260" s="41">
        <v>220701</v>
      </c>
      <c r="I260" s="41">
        <v>167614</v>
      </c>
      <c r="J260" s="136">
        <v>99085689.11999999</v>
      </c>
      <c r="K260" s="136">
        <v>17471359.68</v>
      </c>
      <c r="L260" s="136">
        <v>97663371.659999996</v>
      </c>
      <c r="M260" s="136">
        <v>83002138.410000011</v>
      </c>
      <c r="N260" s="136">
        <v>14091758.85</v>
      </c>
      <c r="O260" s="136">
        <v>13459404.199999999</v>
      </c>
      <c r="P260" s="178">
        <f>SUM(Ikärakenne[[#This Row],[Ikä 0–5]:[Ikä 18-64]])</f>
        <v>324773721.92000002</v>
      </c>
    </row>
    <row r="261" spans="1:16">
      <c r="A261" s="127">
        <v>844</v>
      </c>
      <c r="B261" s="124" t="s">
        <v>266</v>
      </c>
      <c r="C261" s="38">
        <f>SUM(Ikärakenne[[#This Row],[0–5-vuotiaat]:[16 vuotta täyttäneet]])</f>
        <v>1412</v>
      </c>
      <c r="D261" s="41">
        <v>34</v>
      </c>
      <c r="E261" s="41">
        <v>10</v>
      </c>
      <c r="F261" s="41">
        <v>68</v>
      </c>
      <c r="G261" s="41">
        <v>20</v>
      </c>
      <c r="H261" s="41">
        <v>1280</v>
      </c>
      <c r="I261" s="41">
        <v>656</v>
      </c>
      <c r="J261" s="136">
        <v>277413.82</v>
      </c>
      <c r="K261" s="136">
        <v>86577.600000000006</v>
      </c>
      <c r="L261" s="136">
        <v>491715.48</v>
      </c>
      <c r="M261" s="136">
        <v>248472.2</v>
      </c>
      <c r="N261" s="136">
        <v>81728</v>
      </c>
      <c r="O261" s="136">
        <v>52676.799999999996</v>
      </c>
      <c r="P261" s="178">
        <f>SUM(Ikärakenne[[#This Row],[Ikä 0–5]:[Ikä 18-64]])</f>
        <v>1238583.9000000001</v>
      </c>
    </row>
    <row r="262" spans="1:16">
      <c r="A262" s="127">
        <v>845</v>
      </c>
      <c r="B262" s="124" t="s">
        <v>267</v>
      </c>
      <c r="C262" s="38">
        <f>SUM(Ikärakenne[[#This Row],[0–5-vuotiaat]:[16 vuotta täyttäneet]])</f>
        <v>2831</v>
      </c>
      <c r="D262" s="41">
        <v>154</v>
      </c>
      <c r="E262" s="41">
        <v>23</v>
      </c>
      <c r="F262" s="41">
        <v>185</v>
      </c>
      <c r="G262" s="41">
        <v>101</v>
      </c>
      <c r="H262" s="41">
        <v>2368</v>
      </c>
      <c r="I262" s="41">
        <v>1409</v>
      </c>
      <c r="J262" s="136">
        <v>1256521.42</v>
      </c>
      <c r="K262" s="136">
        <v>199128.48</v>
      </c>
      <c r="L262" s="136">
        <v>1337755.3499999999</v>
      </c>
      <c r="M262" s="136">
        <v>1254784.6100000001</v>
      </c>
      <c r="N262" s="136">
        <v>151196.80000000002</v>
      </c>
      <c r="O262" s="136">
        <v>113142.7</v>
      </c>
      <c r="P262" s="178">
        <f>SUM(Ikärakenne[[#This Row],[Ikä 0–5]:[Ikä 18-64]])</f>
        <v>4312529.3600000003</v>
      </c>
    </row>
    <row r="263" spans="1:16">
      <c r="A263" s="127">
        <v>846</v>
      </c>
      <c r="B263" s="124" t="s">
        <v>268</v>
      </c>
      <c r="C263" s="38">
        <f>SUM(Ikärakenne[[#This Row],[0–5-vuotiaat]:[16 vuotta täyttäneet]])</f>
        <v>4758</v>
      </c>
      <c r="D263" s="41">
        <v>191</v>
      </c>
      <c r="E263" s="41">
        <v>37</v>
      </c>
      <c r="F263" s="41">
        <v>305</v>
      </c>
      <c r="G263" s="41">
        <v>171</v>
      </c>
      <c r="H263" s="41">
        <v>4054</v>
      </c>
      <c r="I263" s="41">
        <v>2285</v>
      </c>
      <c r="J263" s="136">
        <v>1558412.93</v>
      </c>
      <c r="K263" s="136">
        <v>320337.12</v>
      </c>
      <c r="L263" s="136">
        <v>2205488.5499999998</v>
      </c>
      <c r="M263" s="136">
        <v>2124437.31</v>
      </c>
      <c r="N263" s="136">
        <v>258847.9</v>
      </c>
      <c r="O263" s="136">
        <v>183485.5</v>
      </c>
      <c r="P263" s="178">
        <f>SUM(Ikärakenne[[#This Row],[Ikä 0–5]:[Ikä 18-64]])</f>
        <v>6651009.3100000005</v>
      </c>
    </row>
    <row r="264" spans="1:16">
      <c r="A264" s="127">
        <v>848</v>
      </c>
      <c r="B264" s="124" t="s">
        <v>269</v>
      </c>
      <c r="C264" s="38">
        <f>SUM(Ikärakenne[[#This Row],[0–5-vuotiaat]:[16 vuotta täyttäneet]])</f>
        <v>4066</v>
      </c>
      <c r="D264" s="41">
        <v>145</v>
      </c>
      <c r="E264" s="41">
        <v>28</v>
      </c>
      <c r="F264" s="41">
        <v>250</v>
      </c>
      <c r="G264" s="41">
        <v>138</v>
      </c>
      <c r="H264" s="41">
        <v>3505</v>
      </c>
      <c r="I264" s="41">
        <v>1964</v>
      </c>
      <c r="J264" s="136">
        <v>1183088.3499999999</v>
      </c>
      <c r="K264" s="136">
        <v>242417.28</v>
      </c>
      <c r="L264" s="136">
        <v>1807777.5</v>
      </c>
      <c r="M264" s="136">
        <v>1714458.1800000002</v>
      </c>
      <c r="N264" s="136">
        <v>223794.25</v>
      </c>
      <c r="O264" s="136">
        <v>157709.19999999998</v>
      </c>
      <c r="P264" s="178">
        <f>SUM(Ikärakenne[[#This Row],[Ikä 0–5]:[Ikä 18-64]])</f>
        <v>5329244.7600000007</v>
      </c>
    </row>
    <row r="265" spans="1:16">
      <c r="A265" s="127">
        <v>849</v>
      </c>
      <c r="B265" s="124" t="s">
        <v>270</v>
      </c>
      <c r="C265" s="38">
        <f>SUM(Ikärakenne[[#This Row],[0–5-vuotiaat]:[16 vuotta täyttäneet]])</f>
        <v>2849</v>
      </c>
      <c r="D265" s="41">
        <v>140</v>
      </c>
      <c r="E265" s="41">
        <v>32</v>
      </c>
      <c r="F265" s="41">
        <v>225</v>
      </c>
      <c r="G265" s="41">
        <v>132</v>
      </c>
      <c r="H265" s="41">
        <v>2320</v>
      </c>
      <c r="I265" s="41">
        <v>1381</v>
      </c>
      <c r="J265" s="136">
        <v>1142292.2</v>
      </c>
      <c r="K265" s="136">
        <v>277048.32000000001</v>
      </c>
      <c r="L265" s="136">
        <v>1626999.75</v>
      </c>
      <c r="M265" s="136">
        <v>1639916.52</v>
      </c>
      <c r="N265" s="136">
        <v>148132</v>
      </c>
      <c r="O265" s="136">
        <v>110894.3</v>
      </c>
      <c r="P265" s="178">
        <f>SUM(Ikärakenne[[#This Row],[Ikä 0–5]:[Ikä 18-64]])</f>
        <v>4945283.09</v>
      </c>
    </row>
    <row r="266" spans="1:16">
      <c r="A266" s="127">
        <v>850</v>
      </c>
      <c r="B266" s="124" t="s">
        <v>271</v>
      </c>
      <c r="C266" s="38">
        <f>SUM(Ikärakenne[[#This Row],[0–5-vuotiaat]:[16 vuotta täyttäneet]])</f>
        <v>2368</v>
      </c>
      <c r="D266" s="41">
        <v>118</v>
      </c>
      <c r="E266" s="41">
        <v>20</v>
      </c>
      <c r="F266" s="41">
        <v>193</v>
      </c>
      <c r="G266" s="41">
        <v>109</v>
      </c>
      <c r="H266" s="41">
        <v>1928</v>
      </c>
      <c r="I266" s="41">
        <v>1161</v>
      </c>
      <c r="J266" s="136">
        <v>962789.1399999999</v>
      </c>
      <c r="K266" s="136">
        <v>173155.20000000001</v>
      </c>
      <c r="L266" s="136">
        <v>1395604.23</v>
      </c>
      <c r="M266" s="136">
        <v>1354173.49</v>
      </c>
      <c r="N266" s="136">
        <v>123102.8</v>
      </c>
      <c r="O266" s="136">
        <v>93228.3</v>
      </c>
      <c r="P266" s="178">
        <f>SUM(Ikärakenne[[#This Row],[Ikä 0–5]:[Ikä 18-64]])</f>
        <v>4102053.1599999992</v>
      </c>
    </row>
    <row r="267" spans="1:16">
      <c r="A267" s="127">
        <v>851</v>
      </c>
      <c r="B267" s="124" t="s">
        <v>272</v>
      </c>
      <c r="C267" s="38">
        <f>SUM(Ikärakenne[[#This Row],[0–5-vuotiaat]:[16 vuotta täyttäneet]])</f>
        <v>21018</v>
      </c>
      <c r="D267" s="41">
        <v>1099</v>
      </c>
      <c r="E267" s="41">
        <v>211</v>
      </c>
      <c r="F267" s="41">
        <v>1475</v>
      </c>
      <c r="G267" s="41">
        <v>845</v>
      </c>
      <c r="H267" s="41">
        <v>17388</v>
      </c>
      <c r="I267" s="41">
        <v>11394</v>
      </c>
      <c r="J267" s="136">
        <v>8966993.7699999996</v>
      </c>
      <c r="K267" s="136">
        <v>1826787.36</v>
      </c>
      <c r="L267" s="136">
        <v>10665887.25</v>
      </c>
      <c r="M267" s="136">
        <v>10497950.450000001</v>
      </c>
      <c r="N267" s="136">
        <v>1110223.8</v>
      </c>
      <c r="O267" s="136">
        <v>914938.2</v>
      </c>
      <c r="P267" s="178">
        <f>SUM(Ikärakenne[[#This Row],[Ikä 0–5]:[Ikä 18-64]])</f>
        <v>33982780.829999998</v>
      </c>
    </row>
    <row r="268" spans="1:16">
      <c r="A268" s="127">
        <v>853</v>
      </c>
      <c r="B268" s="124" t="s">
        <v>273</v>
      </c>
      <c r="C268" s="38">
        <f>SUM(Ikärakenne[[#This Row],[0–5-vuotiaat]:[16 vuotta täyttäneet]])</f>
        <v>201863</v>
      </c>
      <c r="D268" s="41">
        <v>9371</v>
      </c>
      <c r="E268" s="41">
        <v>1602</v>
      </c>
      <c r="F268" s="41">
        <v>10202</v>
      </c>
      <c r="G268" s="41">
        <v>5115</v>
      </c>
      <c r="H268" s="41">
        <v>175573</v>
      </c>
      <c r="I268" s="41">
        <v>130708</v>
      </c>
      <c r="J268" s="136">
        <v>76460144.329999998</v>
      </c>
      <c r="K268" s="136">
        <v>13869731.52</v>
      </c>
      <c r="L268" s="136">
        <v>73771784.219999999</v>
      </c>
      <c r="M268" s="136">
        <v>63546765.150000006</v>
      </c>
      <c r="N268" s="136">
        <v>11210336.050000001</v>
      </c>
      <c r="O268" s="136">
        <v>10495852.4</v>
      </c>
      <c r="P268" s="178">
        <f>SUM(Ikärakenne[[#This Row],[Ikä 0–5]:[Ikä 18-64]])</f>
        <v>249354613.67000002</v>
      </c>
    </row>
    <row r="269" spans="1:16">
      <c r="A269" s="127">
        <v>854</v>
      </c>
      <c r="B269" s="124" t="s">
        <v>274</v>
      </c>
      <c r="C269" s="38">
        <f>SUM(Ikärakenne[[#This Row],[0–5-vuotiaat]:[16 vuotta täyttäneet]])</f>
        <v>3253</v>
      </c>
      <c r="D269" s="41">
        <v>96</v>
      </c>
      <c r="E269" s="41">
        <v>21</v>
      </c>
      <c r="F269" s="41">
        <v>151</v>
      </c>
      <c r="G269" s="41">
        <v>65</v>
      </c>
      <c r="H269" s="41">
        <v>2920</v>
      </c>
      <c r="I269" s="41">
        <v>1462</v>
      </c>
      <c r="J269" s="136">
        <v>783286.08</v>
      </c>
      <c r="K269" s="136">
        <v>181812.96</v>
      </c>
      <c r="L269" s="136">
        <v>1091897.6099999999</v>
      </c>
      <c r="M269" s="136">
        <v>807534.65</v>
      </c>
      <c r="N269" s="136">
        <v>186442</v>
      </c>
      <c r="O269" s="136">
        <v>117398.59999999999</v>
      </c>
      <c r="P269" s="178">
        <f>SUM(Ikärakenne[[#This Row],[Ikä 0–5]:[Ikä 18-64]])</f>
        <v>3168371.9</v>
      </c>
    </row>
    <row r="270" spans="1:16">
      <c r="A270" s="127">
        <v>857</v>
      </c>
      <c r="B270" s="124" t="s">
        <v>275</v>
      </c>
      <c r="C270" s="38">
        <f>SUM(Ikärakenne[[#This Row],[0–5-vuotiaat]:[16 vuotta täyttäneet]])</f>
        <v>2313</v>
      </c>
      <c r="D270" s="41">
        <v>58</v>
      </c>
      <c r="E270" s="41">
        <v>14</v>
      </c>
      <c r="F270" s="41">
        <v>102</v>
      </c>
      <c r="G270" s="41">
        <v>65</v>
      </c>
      <c r="H270" s="41">
        <v>2074</v>
      </c>
      <c r="I270" s="41">
        <v>1093</v>
      </c>
      <c r="J270" s="136">
        <v>473235.33999999997</v>
      </c>
      <c r="K270" s="136">
        <v>121208.64</v>
      </c>
      <c r="L270" s="136">
        <v>737573.22</v>
      </c>
      <c r="M270" s="136">
        <v>807534.65</v>
      </c>
      <c r="N270" s="136">
        <v>132424.9</v>
      </c>
      <c r="O270" s="136">
        <v>87767.9</v>
      </c>
      <c r="P270" s="178">
        <f>SUM(Ikärakenne[[#This Row],[Ikä 0–5]:[Ikä 18-64]])</f>
        <v>2359744.65</v>
      </c>
    </row>
    <row r="271" spans="1:16">
      <c r="A271" s="127">
        <v>858</v>
      </c>
      <c r="B271" s="124" t="s">
        <v>276</v>
      </c>
      <c r="C271" s="38">
        <f>SUM(Ikärakenne[[#This Row],[0–5-vuotiaat]:[16 vuotta täyttäneet]])</f>
        <v>41338</v>
      </c>
      <c r="D271" s="41">
        <v>2369</v>
      </c>
      <c r="E271" s="41">
        <v>446</v>
      </c>
      <c r="F271" s="41">
        <v>3109</v>
      </c>
      <c r="G271" s="41">
        <v>1821</v>
      </c>
      <c r="H271" s="41">
        <v>33593</v>
      </c>
      <c r="I271" s="41">
        <v>24737</v>
      </c>
      <c r="J271" s="136">
        <v>19329215.869999997</v>
      </c>
      <c r="K271" s="136">
        <v>3861360.96</v>
      </c>
      <c r="L271" s="136">
        <v>22481520.989999998</v>
      </c>
      <c r="M271" s="136">
        <v>22623393.810000002</v>
      </c>
      <c r="N271" s="136">
        <v>2144913.0500000003</v>
      </c>
      <c r="O271" s="136">
        <v>1986381.0999999999</v>
      </c>
      <c r="P271" s="178">
        <f>SUM(Ikärakenne[[#This Row],[Ikä 0–5]:[Ikä 18-64]])</f>
        <v>72426785.779999986</v>
      </c>
    </row>
    <row r="272" spans="1:16">
      <c r="A272" s="127">
        <v>859</v>
      </c>
      <c r="B272" s="124" t="s">
        <v>277</v>
      </c>
      <c r="C272" s="38">
        <f>SUM(Ikärakenne[[#This Row],[0–5-vuotiaat]:[16 vuotta täyttäneet]])</f>
        <v>6525</v>
      </c>
      <c r="D272" s="41">
        <v>590</v>
      </c>
      <c r="E272" s="41">
        <v>113</v>
      </c>
      <c r="F272" s="41">
        <v>832</v>
      </c>
      <c r="G272" s="41">
        <v>488</v>
      </c>
      <c r="H272" s="41">
        <v>4502</v>
      </c>
      <c r="I272" s="41">
        <v>3258</v>
      </c>
      <c r="J272" s="136">
        <v>4813945.7</v>
      </c>
      <c r="K272" s="136">
        <v>978326.88</v>
      </c>
      <c r="L272" s="136">
        <v>6016283.5199999996</v>
      </c>
      <c r="M272" s="136">
        <v>6062721.6800000006</v>
      </c>
      <c r="N272" s="136">
        <v>287452.7</v>
      </c>
      <c r="O272" s="136">
        <v>261617.4</v>
      </c>
      <c r="P272" s="178">
        <f>SUM(Ikärakenne[[#This Row],[Ikä 0–5]:[Ikä 18-64]])</f>
        <v>18420347.879999999</v>
      </c>
    </row>
    <row r="273" spans="1:16">
      <c r="A273" s="127">
        <v>886</v>
      </c>
      <c r="B273" s="124" t="s">
        <v>278</v>
      </c>
      <c r="C273" s="38">
        <f>SUM(Ikärakenne[[#This Row],[0–5-vuotiaat]:[16 vuotta täyttäneet]])</f>
        <v>12533</v>
      </c>
      <c r="D273" s="41">
        <v>627</v>
      </c>
      <c r="E273" s="41">
        <v>136</v>
      </c>
      <c r="F273" s="41">
        <v>917</v>
      </c>
      <c r="G273" s="41">
        <v>514</v>
      </c>
      <c r="H273" s="41">
        <v>10339</v>
      </c>
      <c r="I273" s="41">
        <v>6569</v>
      </c>
      <c r="J273" s="136">
        <v>5115837.21</v>
      </c>
      <c r="K273" s="136">
        <v>1177455.3600000001</v>
      </c>
      <c r="L273" s="136">
        <v>6630927.8700000001</v>
      </c>
      <c r="M273" s="136">
        <v>6385735.54</v>
      </c>
      <c r="N273" s="136">
        <v>660145.15</v>
      </c>
      <c r="O273" s="136">
        <v>527490.69999999995</v>
      </c>
      <c r="P273" s="178">
        <f>SUM(Ikärakenne[[#This Row],[Ikä 0–5]:[Ikä 18-64]])</f>
        <v>20497591.829999998</v>
      </c>
    </row>
    <row r="274" spans="1:16">
      <c r="A274" s="127">
        <v>887</v>
      </c>
      <c r="B274" s="124" t="s">
        <v>279</v>
      </c>
      <c r="C274" s="38">
        <f>SUM(Ikärakenne[[#This Row],[0–5-vuotiaat]:[16 vuotta täyttäneet]])</f>
        <v>4568</v>
      </c>
      <c r="D274" s="41">
        <v>180</v>
      </c>
      <c r="E274" s="41">
        <v>36</v>
      </c>
      <c r="F274" s="41">
        <v>251</v>
      </c>
      <c r="G274" s="41">
        <v>144</v>
      </c>
      <c r="H274" s="41">
        <v>3957</v>
      </c>
      <c r="I274" s="41">
        <v>2272</v>
      </c>
      <c r="J274" s="136">
        <v>1468661.4</v>
      </c>
      <c r="K274" s="136">
        <v>311679.35999999999</v>
      </c>
      <c r="L274" s="136">
        <v>1815008.6099999999</v>
      </c>
      <c r="M274" s="136">
        <v>1788999.84</v>
      </c>
      <c r="N274" s="136">
        <v>252654.45</v>
      </c>
      <c r="O274" s="136">
        <v>182441.60000000001</v>
      </c>
      <c r="P274" s="178">
        <f>SUM(Ikärakenne[[#This Row],[Ikä 0–5]:[Ikä 18-64]])</f>
        <v>5819445.2599999998</v>
      </c>
    </row>
    <row r="275" spans="1:16">
      <c r="A275" s="127">
        <v>889</v>
      </c>
      <c r="B275" s="124" t="s">
        <v>280</v>
      </c>
      <c r="C275" s="38">
        <f>SUM(Ikärakenne[[#This Row],[0–5-vuotiaat]:[16 vuotta täyttäneet]])</f>
        <v>2491</v>
      </c>
      <c r="D275" s="41">
        <v>100</v>
      </c>
      <c r="E275" s="41">
        <v>19</v>
      </c>
      <c r="F275" s="41">
        <v>187</v>
      </c>
      <c r="G275" s="41">
        <v>78</v>
      </c>
      <c r="H275" s="41">
        <v>2107</v>
      </c>
      <c r="I275" s="41">
        <v>1210</v>
      </c>
      <c r="J275" s="136">
        <v>815923</v>
      </c>
      <c r="K275" s="136">
        <v>164497.44</v>
      </c>
      <c r="L275" s="136">
        <v>1352217.5699999998</v>
      </c>
      <c r="M275" s="136">
        <v>969041.58000000007</v>
      </c>
      <c r="N275" s="136">
        <v>134531.95000000001</v>
      </c>
      <c r="O275" s="136">
        <v>97163</v>
      </c>
      <c r="P275" s="178">
        <f>SUM(Ikärakenne[[#This Row],[Ikä 0–5]:[Ikä 18-64]])</f>
        <v>3533374.54</v>
      </c>
    </row>
    <row r="276" spans="1:16">
      <c r="A276" s="127">
        <v>890</v>
      </c>
      <c r="B276" s="124" t="s">
        <v>281</v>
      </c>
      <c r="C276" s="38">
        <f>SUM(Ikärakenne[[#This Row],[0–5-vuotiaat]:[16 vuotta täyttäneet]])</f>
        <v>1139</v>
      </c>
      <c r="D276" s="41">
        <v>41</v>
      </c>
      <c r="E276" s="41">
        <v>8</v>
      </c>
      <c r="F276" s="41">
        <v>56</v>
      </c>
      <c r="G276" s="41">
        <v>40</v>
      </c>
      <c r="H276" s="41">
        <v>994</v>
      </c>
      <c r="I276" s="41">
        <v>600</v>
      </c>
      <c r="J276" s="136">
        <v>334528.43</v>
      </c>
      <c r="K276" s="136">
        <v>69262.080000000002</v>
      </c>
      <c r="L276" s="136">
        <v>404942.16</v>
      </c>
      <c r="M276" s="136">
        <v>496944.4</v>
      </c>
      <c r="N276" s="136">
        <v>63466.9</v>
      </c>
      <c r="O276" s="136">
        <v>48180</v>
      </c>
      <c r="P276" s="178">
        <f>SUM(Ikärakenne[[#This Row],[Ikä 0–5]:[Ikä 18-64]])</f>
        <v>1417323.9699999997</v>
      </c>
    </row>
    <row r="277" spans="1:16">
      <c r="A277" s="127">
        <v>892</v>
      </c>
      <c r="B277" s="124" t="s">
        <v>282</v>
      </c>
      <c r="C277" s="38">
        <f>SUM(Ikärakenne[[#This Row],[0–5-vuotiaat]:[16 vuotta täyttäneet]])</f>
        <v>3615</v>
      </c>
      <c r="D277" s="41">
        <v>284</v>
      </c>
      <c r="E277" s="41">
        <v>50</v>
      </c>
      <c r="F277" s="41">
        <v>392</v>
      </c>
      <c r="G277" s="41">
        <v>212</v>
      </c>
      <c r="H277" s="41">
        <v>2677</v>
      </c>
      <c r="I277" s="41">
        <v>1815</v>
      </c>
      <c r="J277" s="136">
        <v>2317221.3199999998</v>
      </c>
      <c r="K277" s="136">
        <v>432888</v>
      </c>
      <c r="L277" s="136">
        <v>2834595.1199999996</v>
      </c>
      <c r="M277" s="136">
        <v>2633805.3200000003</v>
      </c>
      <c r="N277" s="136">
        <v>170926.45</v>
      </c>
      <c r="O277" s="136">
        <v>145744.5</v>
      </c>
      <c r="P277" s="178">
        <f>SUM(Ikärakenne[[#This Row],[Ikä 0–5]:[Ikä 18-64]])</f>
        <v>8535180.709999999</v>
      </c>
    </row>
    <row r="278" spans="1:16">
      <c r="A278" s="127">
        <v>893</v>
      </c>
      <c r="B278" s="124" t="s">
        <v>283</v>
      </c>
      <c r="C278" s="38">
        <f>SUM(Ikärakenne[[#This Row],[0–5-vuotiaat]:[16 vuotta täyttäneet]])</f>
        <v>7500</v>
      </c>
      <c r="D278" s="41">
        <v>451</v>
      </c>
      <c r="E278" s="41">
        <v>73</v>
      </c>
      <c r="F278" s="41">
        <v>593</v>
      </c>
      <c r="G278" s="41">
        <v>314</v>
      </c>
      <c r="H278" s="41">
        <v>6069</v>
      </c>
      <c r="I278" s="41">
        <v>3905</v>
      </c>
      <c r="J278" s="136">
        <v>3679812.73</v>
      </c>
      <c r="K278" s="136">
        <v>632016.48</v>
      </c>
      <c r="L278" s="136">
        <v>4288048.2299999995</v>
      </c>
      <c r="M278" s="136">
        <v>3901013.54</v>
      </c>
      <c r="N278" s="136">
        <v>387505.65</v>
      </c>
      <c r="O278" s="136">
        <v>313571.5</v>
      </c>
      <c r="P278" s="178">
        <f>SUM(Ikärakenne[[#This Row],[Ikä 0–5]:[Ikä 18-64]])</f>
        <v>13201968.130000001</v>
      </c>
    </row>
    <row r="279" spans="1:16">
      <c r="A279" s="127">
        <v>895</v>
      </c>
      <c r="B279" s="124" t="s">
        <v>284</v>
      </c>
      <c r="C279" s="38">
        <f>SUM(Ikärakenne[[#This Row],[0–5-vuotiaat]:[16 vuotta täyttäneet]])</f>
        <v>14938</v>
      </c>
      <c r="D279" s="41">
        <v>620</v>
      </c>
      <c r="E279" s="41">
        <v>116</v>
      </c>
      <c r="F279" s="41">
        <v>879</v>
      </c>
      <c r="G279" s="41">
        <v>470</v>
      </c>
      <c r="H279" s="41">
        <v>12853</v>
      </c>
      <c r="I279" s="41">
        <v>7881</v>
      </c>
      <c r="J279" s="136">
        <v>5058722.5999999996</v>
      </c>
      <c r="K279" s="136">
        <v>1004300.16</v>
      </c>
      <c r="L279" s="136">
        <v>6356145.6899999995</v>
      </c>
      <c r="M279" s="136">
        <v>5839096.7000000002</v>
      </c>
      <c r="N279" s="136">
        <v>820664.05</v>
      </c>
      <c r="O279" s="136">
        <v>632844.29999999993</v>
      </c>
      <c r="P279" s="178">
        <f>SUM(Ikärakenne[[#This Row],[Ikä 0–5]:[Ikä 18-64]])</f>
        <v>19711773.5</v>
      </c>
    </row>
    <row r="280" spans="1:16">
      <c r="A280" s="127">
        <v>905</v>
      </c>
      <c r="B280" s="124" t="s">
        <v>285</v>
      </c>
      <c r="C280" s="38">
        <f>SUM(Ikärakenne[[#This Row],[0–5-vuotiaat]:[16 vuotta täyttäneet]])</f>
        <v>68956</v>
      </c>
      <c r="D280" s="41">
        <v>3325</v>
      </c>
      <c r="E280" s="41">
        <v>598</v>
      </c>
      <c r="F280" s="41">
        <v>4300</v>
      </c>
      <c r="G280" s="41">
        <v>2264</v>
      </c>
      <c r="H280" s="41">
        <v>58469</v>
      </c>
      <c r="I280" s="41">
        <v>42721</v>
      </c>
      <c r="J280" s="136">
        <v>27129439.75</v>
      </c>
      <c r="K280" s="136">
        <v>5177340.4800000004</v>
      </c>
      <c r="L280" s="136">
        <v>31093773</v>
      </c>
      <c r="M280" s="136">
        <v>28127053.040000003</v>
      </c>
      <c r="N280" s="136">
        <v>3733245.65</v>
      </c>
      <c r="O280" s="136">
        <v>3430496.3</v>
      </c>
      <c r="P280" s="178">
        <f>SUM(Ikärakenne[[#This Row],[Ikä 0–5]:[Ikä 18-64]])</f>
        <v>98691348.220000014</v>
      </c>
    </row>
    <row r="281" spans="1:16">
      <c r="A281" s="127">
        <v>908</v>
      </c>
      <c r="B281" s="124" t="s">
        <v>286</v>
      </c>
      <c r="C281" s="38">
        <f>SUM(Ikärakenne[[#This Row],[0–5-vuotiaat]:[16 vuotta täyttäneet]])</f>
        <v>20694</v>
      </c>
      <c r="D281" s="41">
        <v>934</v>
      </c>
      <c r="E281" s="41">
        <v>171</v>
      </c>
      <c r="F281" s="41">
        <v>1383</v>
      </c>
      <c r="G281" s="41">
        <v>803</v>
      </c>
      <c r="H281" s="41">
        <v>17403</v>
      </c>
      <c r="I281" s="41">
        <v>11040</v>
      </c>
      <c r="J281" s="136">
        <v>7620720.8199999994</v>
      </c>
      <c r="K281" s="136">
        <v>1480476.96</v>
      </c>
      <c r="L281" s="136">
        <v>10000625.129999999</v>
      </c>
      <c r="M281" s="136">
        <v>9976158.8300000001</v>
      </c>
      <c r="N281" s="136">
        <v>1111181.55</v>
      </c>
      <c r="O281" s="136">
        <v>886512</v>
      </c>
      <c r="P281" s="178">
        <f>SUM(Ikärakenne[[#This Row],[Ikä 0–5]:[Ikä 18-64]])</f>
        <v>31075675.289999995</v>
      </c>
    </row>
    <row r="282" spans="1:16">
      <c r="A282" s="127">
        <v>915</v>
      </c>
      <c r="B282" s="124" t="s">
        <v>287</v>
      </c>
      <c r="C282" s="38">
        <f>SUM(Ikärakenne[[#This Row],[0–5-vuotiaat]:[16 vuotta täyttäneet]])</f>
        <v>19727</v>
      </c>
      <c r="D282" s="41">
        <v>727</v>
      </c>
      <c r="E282" s="41">
        <v>146</v>
      </c>
      <c r="F282" s="41">
        <v>971</v>
      </c>
      <c r="G282" s="41">
        <v>590</v>
      </c>
      <c r="H282" s="41">
        <v>17293</v>
      </c>
      <c r="I282" s="41">
        <v>10248</v>
      </c>
      <c r="J282" s="136">
        <v>5931760.21</v>
      </c>
      <c r="K282" s="136">
        <v>1264032.96</v>
      </c>
      <c r="L282" s="136">
        <v>7021407.8099999996</v>
      </c>
      <c r="M282" s="136">
        <v>7329929.9000000004</v>
      </c>
      <c r="N282" s="136">
        <v>1104158.05</v>
      </c>
      <c r="O282" s="136">
        <v>822914.4</v>
      </c>
      <c r="P282" s="178">
        <f>SUM(Ikärakenne[[#This Row],[Ikä 0–5]:[Ikä 18-64]])</f>
        <v>23474203.330000002</v>
      </c>
    </row>
    <row r="283" spans="1:16">
      <c r="A283" s="127">
        <v>918</v>
      </c>
      <c r="B283" s="124" t="s">
        <v>288</v>
      </c>
      <c r="C283" s="38">
        <f>SUM(Ikärakenne[[#This Row],[0–5-vuotiaat]:[16 vuotta täyttäneet]])</f>
        <v>2245</v>
      </c>
      <c r="D283" s="41">
        <v>108</v>
      </c>
      <c r="E283" s="41">
        <v>17</v>
      </c>
      <c r="F283" s="41">
        <v>136</v>
      </c>
      <c r="G283" s="41">
        <v>72</v>
      </c>
      <c r="H283" s="41">
        <v>1912</v>
      </c>
      <c r="I283" s="41">
        <v>1184</v>
      </c>
      <c r="J283" s="136">
        <v>881196.84</v>
      </c>
      <c r="K283" s="136">
        <v>147181.92000000001</v>
      </c>
      <c r="L283" s="136">
        <v>983430.96</v>
      </c>
      <c r="M283" s="136">
        <v>894499.92</v>
      </c>
      <c r="N283" s="136">
        <v>122081.2</v>
      </c>
      <c r="O283" s="136">
        <v>95075.199999999997</v>
      </c>
      <c r="P283" s="178">
        <f>SUM(Ikärakenne[[#This Row],[Ikä 0–5]:[Ikä 18-64]])</f>
        <v>3123466.0400000005</v>
      </c>
    </row>
    <row r="284" spans="1:16">
      <c r="A284" s="127">
        <v>921</v>
      </c>
      <c r="B284" s="124" t="s">
        <v>289</v>
      </c>
      <c r="C284" s="38">
        <f>SUM(Ikärakenne[[#This Row],[0–5-vuotiaat]:[16 vuotta täyttäneet]])</f>
        <v>1895</v>
      </c>
      <c r="D284" s="41">
        <v>45</v>
      </c>
      <c r="E284" s="41">
        <v>7</v>
      </c>
      <c r="F284" s="41">
        <v>74</v>
      </c>
      <c r="G284" s="41">
        <v>51</v>
      </c>
      <c r="H284" s="41">
        <v>1718</v>
      </c>
      <c r="I284" s="41">
        <v>864</v>
      </c>
      <c r="J284" s="136">
        <v>367165.35</v>
      </c>
      <c r="K284" s="136">
        <v>60604.32</v>
      </c>
      <c r="L284" s="136">
        <v>535102.14</v>
      </c>
      <c r="M284" s="136">
        <v>633604.11</v>
      </c>
      <c r="N284" s="136">
        <v>109694.3</v>
      </c>
      <c r="O284" s="136">
        <v>69379.199999999997</v>
      </c>
      <c r="P284" s="178">
        <f>SUM(Ikärakenne[[#This Row],[Ikä 0–5]:[Ikä 18-64]])</f>
        <v>1775549.42</v>
      </c>
    </row>
    <row r="285" spans="1:16">
      <c r="A285" s="127">
        <v>922</v>
      </c>
      <c r="B285" s="124" t="s">
        <v>290</v>
      </c>
      <c r="C285" s="38">
        <f>SUM(Ikärakenne[[#This Row],[0–5-vuotiaat]:[16 vuotta täyttäneet]])</f>
        <v>4469</v>
      </c>
      <c r="D285" s="41">
        <v>256</v>
      </c>
      <c r="E285" s="41">
        <v>55</v>
      </c>
      <c r="F285" s="41">
        <v>390</v>
      </c>
      <c r="G285" s="41">
        <v>218</v>
      </c>
      <c r="H285" s="41">
        <v>3550</v>
      </c>
      <c r="I285" s="41">
        <v>2552</v>
      </c>
      <c r="J285" s="136">
        <v>2088762.88</v>
      </c>
      <c r="K285" s="136">
        <v>476176.8</v>
      </c>
      <c r="L285" s="136">
        <v>2820132.9</v>
      </c>
      <c r="M285" s="136">
        <v>2708346.98</v>
      </c>
      <c r="N285" s="136">
        <v>226667.5</v>
      </c>
      <c r="O285" s="136">
        <v>204925.6</v>
      </c>
      <c r="P285" s="178">
        <f>SUM(Ikärakenne[[#This Row],[Ikä 0–5]:[Ikä 18-64]])</f>
        <v>8525012.6600000001</v>
      </c>
    </row>
    <row r="286" spans="1:16">
      <c r="A286" s="127">
        <v>924</v>
      </c>
      <c r="B286" s="124" t="s">
        <v>291</v>
      </c>
      <c r="C286" s="38">
        <f>SUM(Ikärakenne[[#This Row],[0–5-vuotiaat]:[16 vuotta täyttäneet]])</f>
        <v>2936</v>
      </c>
      <c r="D286" s="41">
        <v>126</v>
      </c>
      <c r="E286" s="41">
        <v>26</v>
      </c>
      <c r="F286" s="41">
        <v>180</v>
      </c>
      <c r="G286" s="41">
        <v>126</v>
      </c>
      <c r="H286" s="41">
        <v>2478</v>
      </c>
      <c r="I286" s="41">
        <v>1447</v>
      </c>
      <c r="J286" s="136">
        <v>1028062.98</v>
      </c>
      <c r="K286" s="136">
        <v>225101.76</v>
      </c>
      <c r="L286" s="136">
        <v>1301599.8</v>
      </c>
      <c r="M286" s="136">
        <v>1565374.86</v>
      </c>
      <c r="N286" s="136">
        <v>158220.30000000002</v>
      </c>
      <c r="O286" s="136">
        <v>116194.09999999999</v>
      </c>
      <c r="P286" s="178">
        <f>SUM(Ikärakenne[[#This Row],[Ikä 0–5]:[Ikä 18-64]])</f>
        <v>4394553.8</v>
      </c>
    </row>
    <row r="287" spans="1:16">
      <c r="A287" s="127">
        <v>925</v>
      </c>
      <c r="B287" s="124" t="s">
        <v>292</v>
      </c>
      <c r="C287" s="38">
        <f>SUM(Ikärakenne[[#This Row],[0–5-vuotiaat]:[16 vuotta täyttäneet]])</f>
        <v>3387</v>
      </c>
      <c r="D287" s="41">
        <v>132</v>
      </c>
      <c r="E287" s="41">
        <v>31</v>
      </c>
      <c r="F287" s="41">
        <v>231</v>
      </c>
      <c r="G287" s="41">
        <v>117</v>
      </c>
      <c r="H287" s="41">
        <v>2876</v>
      </c>
      <c r="I287" s="41">
        <v>1837</v>
      </c>
      <c r="J287" s="136">
        <v>1077018.3599999999</v>
      </c>
      <c r="K287" s="136">
        <v>268390.56</v>
      </c>
      <c r="L287" s="136">
        <v>1670386.41</v>
      </c>
      <c r="M287" s="136">
        <v>1453562.37</v>
      </c>
      <c r="N287" s="136">
        <v>183632.6</v>
      </c>
      <c r="O287" s="136">
        <v>147511.1</v>
      </c>
      <c r="P287" s="178">
        <f>SUM(Ikärakenne[[#This Row],[Ikä 0–5]:[Ikä 18-64]])</f>
        <v>4800501.3999999994</v>
      </c>
    </row>
    <row r="288" spans="1:16">
      <c r="A288" s="127">
        <v>927</v>
      </c>
      <c r="B288" s="124" t="s">
        <v>293</v>
      </c>
      <c r="C288" s="38">
        <f>SUM(Ikärakenne[[#This Row],[0–5-vuotiaat]:[16 vuotta täyttäneet]])</f>
        <v>28811</v>
      </c>
      <c r="D288" s="41">
        <v>1523</v>
      </c>
      <c r="E288" s="41">
        <v>316</v>
      </c>
      <c r="F288" s="41">
        <v>2107</v>
      </c>
      <c r="G288" s="41">
        <v>1303</v>
      </c>
      <c r="H288" s="41">
        <v>23562</v>
      </c>
      <c r="I288" s="41">
        <v>16584</v>
      </c>
      <c r="J288" s="136">
        <v>12426507.289999999</v>
      </c>
      <c r="K288" s="136">
        <v>2735852.16</v>
      </c>
      <c r="L288" s="136">
        <v>15235948.77</v>
      </c>
      <c r="M288" s="136">
        <v>16187963.83</v>
      </c>
      <c r="N288" s="136">
        <v>1504433.7</v>
      </c>
      <c r="O288" s="136">
        <v>1331695.2</v>
      </c>
      <c r="P288" s="178">
        <f>SUM(Ikärakenne[[#This Row],[Ikä 0–5]:[Ikä 18-64]])</f>
        <v>49422400.950000003</v>
      </c>
    </row>
    <row r="289" spans="1:16">
      <c r="A289" s="127">
        <v>931</v>
      </c>
      <c r="B289" s="124" t="s">
        <v>294</v>
      </c>
      <c r="C289" s="38">
        <f>SUM(Ikärakenne[[#This Row],[0–5-vuotiaat]:[16 vuotta täyttäneet]])</f>
        <v>5877</v>
      </c>
      <c r="D289" s="41">
        <v>225</v>
      </c>
      <c r="E289" s="41">
        <v>43</v>
      </c>
      <c r="F289" s="41">
        <v>274</v>
      </c>
      <c r="G289" s="41">
        <v>161</v>
      </c>
      <c r="H289" s="41">
        <v>5174</v>
      </c>
      <c r="I289" s="41">
        <v>2777</v>
      </c>
      <c r="J289" s="136">
        <v>1835826.75</v>
      </c>
      <c r="K289" s="136">
        <v>372283.68</v>
      </c>
      <c r="L289" s="136">
        <v>1981324.14</v>
      </c>
      <c r="M289" s="136">
        <v>2000201.2100000002</v>
      </c>
      <c r="N289" s="136">
        <v>330359.90000000002</v>
      </c>
      <c r="O289" s="136">
        <v>222993.1</v>
      </c>
      <c r="P289" s="178">
        <f>SUM(Ikärakenne[[#This Row],[Ikä 0–5]:[Ikä 18-64]])</f>
        <v>6742988.7800000003</v>
      </c>
    </row>
    <row r="290" spans="1:16">
      <c r="A290" s="127">
        <v>934</v>
      </c>
      <c r="B290" s="124" t="s">
        <v>295</v>
      </c>
      <c r="C290" s="38">
        <f>SUM(Ikärakenne[[#This Row],[0–5-vuotiaat]:[16 vuotta täyttäneet]])</f>
        <v>2656</v>
      </c>
      <c r="D290" s="41">
        <v>77</v>
      </c>
      <c r="E290" s="41">
        <v>17</v>
      </c>
      <c r="F290" s="41">
        <v>180</v>
      </c>
      <c r="G290" s="41">
        <v>95</v>
      </c>
      <c r="H290" s="41">
        <v>2287</v>
      </c>
      <c r="I290" s="41">
        <v>1350</v>
      </c>
      <c r="J290" s="136">
        <v>628260.71</v>
      </c>
      <c r="K290" s="136">
        <v>147181.92000000001</v>
      </c>
      <c r="L290" s="136">
        <v>1301599.8</v>
      </c>
      <c r="M290" s="136">
        <v>1180242.95</v>
      </c>
      <c r="N290" s="136">
        <v>146024.95000000001</v>
      </c>
      <c r="O290" s="136">
        <v>108405</v>
      </c>
      <c r="P290" s="178">
        <f>SUM(Ikärakenne[[#This Row],[Ikä 0–5]:[Ikä 18-64]])</f>
        <v>3511715.33</v>
      </c>
    </row>
    <row r="291" spans="1:16">
      <c r="A291" s="127">
        <v>935</v>
      </c>
      <c r="B291" s="124" t="s">
        <v>296</v>
      </c>
      <c r="C291" s="38">
        <f>SUM(Ikärakenne[[#This Row],[0–5-vuotiaat]:[16 vuotta täyttäneet]])</f>
        <v>2927</v>
      </c>
      <c r="D291" s="41">
        <v>82</v>
      </c>
      <c r="E291" s="41">
        <v>16</v>
      </c>
      <c r="F291" s="41">
        <v>152</v>
      </c>
      <c r="G291" s="41">
        <v>90</v>
      </c>
      <c r="H291" s="41">
        <v>2587</v>
      </c>
      <c r="I291" s="41">
        <v>1500</v>
      </c>
      <c r="J291" s="136">
        <v>669056.86</v>
      </c>
      <c r="K291" s="136">
        <v>138524.16</v>
      </c>
      <c r="L291" s="136">
        <v>1099128.72</v>
      </c>
      <c r="M291" s="136">
        <v>1118124.9000000001</v>
      </c>
      <c r="N291" s="136">
        <v>165179.95000000001</v>
      </c>
      <c r="O291" s="136">
        <v>120450</v>
      </c>
      <c r="P291" s="178">
        <f>SUM(Ikärakenne[[#This Row],[Ikä 0–5]:[Ikä 18-64]])</f>
        <v>3310464.5900000003</v>
      </c>
    </row>
    <row r="292" spans="1:16">
      <c r="A292" s="127">
        <v>936</v>
      </c>
      <c r="B292" s="124" t="s">
        <v>297</v>
      </c>
      <c r="C292" s="38">
        <f>SUM(Ikärakenne[[#This Row],[0–5-vuotiaat]:[16 vuotta täyttäneet]])</f>
        <v>6275</v>
      </c>
      <c r="D292" s="41">
        <v>234</v>
      </c>
      <c r="E292" s="41">
        <v>42</v>
      </c>
      <c r="F292" s="41">
        <v>321</v>
      </c>
      <c r="G292" s="41">
        <v>187</v>
      </c>
      <c r="H292" s="41">
        <v>5491</v>
      </c>
      <c r="I292" s="41">
        <v>2955</v>
      </c>
      <c r="J292" s="136">
        <v>1909259.8199999998</v>
      </c>
      <c r="K292" s="136">
        <v>363625.92</v>
      </c>
      <c r="L292" s="136">
        <v>2321186.31</v>
      </c>
      <c r="M292" s="136">
        <v>2323215.0700000003</v>
      </c>
      <c r="N292" s="136">
        <v>350600.35000000003</v>
      </c>
      <c r="O292" s="136">
        <v>237286.5</v>
      </c>
      <c r="P292" s="178">
        <f>SUM(Ikärakenne[[#This Row],[Ikä 0–5]:[Ikä 18-64]])</f>
        <v>7505173.9699999997</v>
      </c>
    </row>
    <row r="293" spans="1:16">
      <c r="A293" s="127">
        <v>946</v>
      </c>
      <c r="B293" s="124" t="s">
        <v>298</v>
      </c>
      <c r="C293" s="38">
        <f>SUM(Ikärakenne[[#This Row],[0–5-vuotiaat]:[16 vuotta täyttäneet]])</f>
        <v>6291</v>
      </c>
      <c r="D293" s="41">
        <v>371</v>
      </c>
      <c r="E293" s="41">
        <v>73</v>
      </c>
      <c r="F293" s="41">
        <v>462</v>
      </c>
      <c r="G293" s="41">
        <v>264</v>
      </c>
      <c r="H293" s="41">
        <v>5121</v>
      </c>
      <c r="I293" s="41">
        <v>3195</v>
      </c>
      <c r="J293" s="136">
        <v>3027074.3299999996</v>
      </c>
      <c r="K293" s="136">
        <v>632016.48</v>
      </c>
      <c r="L293" s="136">
        <v>3340772.82</v>
      </c>
      <c r="M293" s="136">
        <v>3279833.04</v>
      </c>
      <c r="N293" s="136">
        <v>326975.85000000003</v>
      </c>
      <c r="O293" s="136">
        <v>256558.5</v>
      </c>
      <c r="P293" s="178">
        <f>SUM(Ikärakenne[[#This Row],[Ikä 0–5]:[Ikä 18-64]])</f>
        <v>10863231.019999998</v>
      </c>
    </row>
    <row r="294" spans="1:16">
      <c r="A294" s="127">
        <v>976</v>
      </c>
      <c r="B294" s="124" t="s">
        <v>299</v>
      </c>
      <c r="C294" s="38">
        <f>SUM(Ikärakenne[[#This Row],[0–5-vuotiaat]:[16 vuotta täyttäneet]])</f>
        <v>3765</v>
      </c>
      <c r="D294" s="41">
        <v>124</v>
      </c>
      <c r="E294" s="41">
        <v>16</v>
      </c>
      <c r="F294" s="41">
        <v>166</v>
      </c>
      <c r="G294" s="41">
        <v>115</v>
      </c>
      <c r="H294" s="41">
        <v>3344</v>
      </c>
      <c r="I294" s="41">
        <v>1763</v>
      </c>
      <c r="J294" s="136">
        <v>1011744.5199999999</v>
      </c>
      <c r="K294" s="136">
        <v>138524.16</v>
      </c>
      <c r="L294" s="136">
        <v>1200364.26</v>
      </c>
      <c r="M294" s="136">
        <v>1428715.1500000001</v>
      </c>
      <c r="N294" s="136">
        <v>213514.4</v>
      </c>
      <c r="O294" s="136">
        <v>141568.9</v>
      </c>
      <c r="P294" s="178">
        <f>SUM(Ikärakenne[[#This Row],[Ikä 0–5]:[Ikä 18-64]])</f>
        <v>4134431.3899999997</v>
      </c>
    </row>
    <row r="295" spans="1:16">
      <c r="A295" s="127">
        <v>977</v>
      </c>
      <c r="B295" s="124" t="s">
        <v>300</v>
      </c>
      <c r="C295" s="38">
        <f>SUM(Ikärakenne[[#This Row],[0–5-vuotiaat]:[16 vuotta täyttäneet]])</f>
        <v>15369</v>
      </c>
      <c r="D295" s="41">
        <v>974</v>
      </c>
      <c r="E295" s="41">
        <v>205</v>
      </c>
      <c r="F295" s="41">
        <v>1416</v>
      </c>
      <c r="G295" s="41">
        <v>692</v>
      </c>
      <c r="H295" s="41">
        <v>12082</v>
      </c>
      <c r="I295" s="41">
        <v>8287</v>
      </c>
      <c r="J295" s="136">
        <v>7947090.0199999996</v>
      </c>
      <c r="K295" s="136">
        <v>1774840.8</v>
      </c>
      <c r="L295" s="136">
        <v>10239251.76</v>
      </c>
      <c r="M295" s="136">
        <v>8597138.120000001</v>
      </c>
      <c r="N295" s="136">
        <v>771435.70000000007</v>
      </c>
      <c r="O295" s="136">
        <v>665446.1</v>
      </c>
      <c r="P295" s="178">
        <f>SUM(Ikärakenne[[#This Row],[Ikä 0–5]:[Ikä 18-64]])</f>
        <v>29995202.5</v>
      </c>
    </row>
    <row r="296" spans="1:16">
      <c r="A296" s="127">
        <v>980</v>
      </c>
      <c r="B296" s="124" t="s">
        <v>301</v>
      </c>
      <c r="C296" s="38">
        <f>SUM(Ikärakenne[[#This Row],[0–5-vuotiaat]:[16 vuotta täyttäneet]])</f>
        <v>33677</v>
      </c>
      <c r="D296" s="41">
        <v>2244</v>
      </c>
      <c r="E296" s="41">
        <v>391</v>
      </c>
      <c r="F296" s="41">
        <v>2989</v>
      </c>
      <c r="G296" s="41">
        <v>1548</v>
      </c>
      <c r="H296" s="41">
        <v>26505</v>
      </c>
      <c r="I296" s="41">
        <v>18825</v>
      </c>
      <c r="J296" s="136">
        <v>18309312.119999997</v>
      </c>
      <c r="K296" s="136">
        <v>3385184.16</v>
      </c>
      <c r="L296" s="136">
        <v>21613787.789999999</v>
      </c>
      <c r="M296" s="136">
        <v>19231748.280000001</v>
      </c>
      <c r="N296" s="136">
        <v>1692344.25</v>
      </c>
      <c r="O296" s="136">
        <v>1511647.5</v>
      </c>
      <c r="P296" s="178">
        <f>SUM(Ikärakenne[[#This Row],[Ikä 0–5]:[Ikä 18-64]])</f>
        <v>65744024.099999994</v>
      </c>
    </row>
    <row r="297" spans="1:16">
      <c r="A297" s="127">
        <v>981</v>
      </c>
      <c r="B297" s="124" t="s">
        <v>302</v>
      </c>
      <c r="C297" s="38">
        <f>SUM(Ikärakenne[[#This Row],[0–5-vuotiaat]:[16 vuotta täyttäneet]])</f>
        <v>2207</v>
      </c>
      <c r="D297" s="41">
        <v>67</v>
      </c>
      <c r="E297" s="41">
        <v>14</v>
      </c>
      <c r="F297" s="41">
        <v>117</v>
      </c>
      <c r="G297" s="41">
        <v>71</v>
      </c>
      <c r="H297" s="41">
        <v>1938</v>
      </c>
      <c r="I297" s="41">
        <v>1214</v>
      </c>
      <c r="J297" s="136">
        <v>546668.40999999992</v>
      </c>
      <c r="K297" s="136">
        <v>121208.64</v>
      </c>
      <c r="L297" s="136">
        <v>846039.87</v>
      </c>
      <c r="M297" s="136">
        <v>882076.31</v>
      </c>
      <c r="N297" s="136">
        <v>123741.3</v>
      </c>
      <c r="O297" s="136">
        <v>97484.2</v>
      </c>
      <c r="P297" s="178">
        <f>SUM(Ikärakenne[[#This Row],[Ikä 0–5]:[Ikä 18-64]])</f>
        <v>2617218.73</v>
      </c>
    </row>
    <row r="298" spans="1:16">
      <c r="A298" s="127">
        <v>989</v>
      </c>
      <c r="B298" s="124" t="s">
        <v>303</v>
      </c>
      <c r="C298" s="38">
        <f>SUM(Ikärakenne[[#This Row],[0–5-vuotiaat]:[16 vuotta täyttäneet]])</f>
        <v>5316</v>
      </c>
      <c r="D298" s="41">
        <v>205</v>
      </c>
      <c r="E298" s="41">
        <v>49</v>
      </c>
      <c r="F298" s="41">
        <v>286</v>
      </c>
      <c r="G298" s="41">
        <v>198</v>
      </c>
      <c r="H298" s="41">
        <v>4578</v>
      </c>
      <c r="I298" s="41">
        <v>2564</v>
      </c>
      <c r="J298" s="136">
        <v>1672642.15</v>
      </c>
      <c r="K298" s="136">
        <v>424230.24</v>
      </c>
      <c r="L298" s="136">
        <v>2068097.46</v>
      </c>
      <c r="M298" s="136">
        <v>2459874.7800000003</v>
      </c>
      <c r="N298" s="136">
        <v>292305.3</v>
      </c>
      <c r="O298" s="136">
        <v>205889.19999999998</v>
      </c>
      <c r="P298" s="178">
        <f>SUM(Ikärakenne[[#This Row],[Ikä 0–5]:[Ikä 18-64]])</f>
        <v>7123039.1299999999</v>
      </c>
    </row>
    <row r="299" spans="1:16">
      <c r="A299" s="127">
        <v>992</v>
      </c>
      <c r="B299" s="124" t="s">
        <v>304</v>
      </c>
      <c r="C299" s="38">
        <f>SUM(Ikärakenne[[#This Row],[0–5-vuotiaat]:[16 vuotta täyttäneet]])</f>
        <v>17971</v>
      </c>
      <c r="D299" s="41">
        <v>782</v>
      </c>
      <c r="E299" s="41">
        <v>156</v>
      </c>
      <c r="F299" s="41">
        <v>1179</v>
      </c>
      <c r="G299" s="41">
        <v>660</v>
      </c>
      <c r="H299" s="41">
        <v>15194</v>
      </c>
      <c r="I299" s="41">
        <v>9414</v>
      </c>
      <c r="J299" s="136">
        <v>6380517.8599999994</v>
      </c>
      <c r="K299" s="136">
        <v>1350610.56</v>
      </c>
      <c r="L299" s="136">
        <v>8525478.6899999995</v>
      </c>
      <c r="M299" s="136">
        <v>8199582.6000000006</v>
      </c>
      <c r="N299" s="136">
        <v>970136.9</v>
      </c>
      <c r="O299" s="136">
        <v>755944.2</v>
      </c>
      <c r="P299" s="178">
        <f>SUM(Ikärakenne[[#This Row],[Ikä 0–5]:[Ikä 18-64]])</f>
        <v>26182270.809999999</v>
      </c>
    </row>
    <row r="304" spans="1:16">
      <c r="D304" s="41"/>
      <c r="E304" s="41"/>
      <c r="F304" s="41"/>
      <c r="G304" s="41"/>
      <c r="H304" s="41"/>
    </row>
    <row r="306" spans="4:8">
      <c r="D306" s="41"/>
      <c r="E306" s="41"/>
      <c r="F306" s="41"/>
      <c r="G306" s="41"/>
      <c r="H306" s="41"/>
    </row>
  </sheetData>
  <pageMargins left="0.31496062992125984" right="0.31496062992125984" top="0.55118110236220474" bottom="0.55118110236220474" header="0.31496062992125984" footer="0.31496062992125984"/>
  <pageSetup paperSize="9" scale="65"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05"/>
  <sheetViews>
    <sheetView zoomScale="90" zoomScaleNormal="90" workbookViewId="0">
      <pane xSplit="2" topLeftCell="C1" activePane="topRight" state="frozen"/>
      <selection pane="topRight"/>
    </sheetView>
  </sheetViews>
  <sheetFormatPr defaultRowHeight="15"/>
  <cols>
    <col min="1" max="1" width="20" style="90" customWidth="1"/>
    <col min="2" max="2" width="23.625" style="151" customWidth="1"/>
    <col min="3" max="3" width="17.5" style="138" customWidth="1"/>
    <col min="4" max="4" width="12.625" style="131" customWidth="1"/>
    <col min="5" max="5" width="10.375" style="131" customWidth="1"/>
    <col min="6" max="6" width="15.125" style="42" customWidth="1"/>
    <col min="7" max="7" width="18.875" style="153" customWidth="1"/>
    <col min="8" max="8" width="13" style="153" bestFit="1" customWidth="1"/>
    <col min="9" max="9" width="18.125" style="155" bestFit="1" customWidth="1"/>
    <col min="10" max="10" width="17.625" style="15" customWidth="1"/>
    <col min="11" max="11" width="16.125" style="42" customWidth="1"/>
    <col min="12" max="12" width="14.875" style="102" bestFit="1" customWidth="1"/>
    <col min="13" max="13" width="18.625" style="153" customWidth="1"/>
    <col min="14" max="14" width="16.125" style="153" customWidth="1"/>
    <col min="15" max="15" width="19.125" style="153" bestFit="1" customWidth="1"/>
    <col min="16" max="16" width="19.125" style="153" customWidth="1"/>
    <col min="17" max="17" width="17.625" style="42" customWidth="1"/>
    <col min="18" max="18" width="15.125" style="42" customWidth="1"/>
    <col min="19" max="19" width="16.625" style="158" customWidth="1"/>
    <col min="20" max="20" width="18.375" style="90" customWidth="1"/>
    <col min="21" max="21" width="17.875" style="166" customWidth="1"/>
    <col min="22" max="22" width="17.625" style="35" bestFit="1" customWidth="1"/>
    <col min="23" max="23" width="25.625" style="35" bestFit="1" customWidth="1"/>
    <col min="24" max="24" width="14.625" style="35" bestFit="1" customWidth="1"/>
    <col min="25" max="25" width="13.125" style="35" bestFit="1" customWidth="1"/>
    <col min="26" max="26" width="15.375" style="35" bestFit="1" customWidth="1"/>
    <col min="27" max="27" width="11.125" style="35" bestFit="1" customWidth="1"/>
    <col min="28" max="28" width="20.125" style="159" bestFit="1" customWidth="1"/>
    <col min="29" max="29" width="20.125" style="159" customWidth="1"/>
    <col min="30" max="30" width="17.125" style="35" bestFit="1" customWidth="1"/>
    <col min="31" max="31" width="18.625" style="35" bestFit="1" customWidth="1"/>
    <col min="32" max="32" width="16" style="26" bestFit="1" customWidth="1"/>
  </cols>
  <sheetData>
    <row r="1" spans="1:34" ht="23.25">
      <c r="A1" s="313" t="s">
        <v>851</v>
      </c>
      <c r="D1" s="152"/>
      <c r="E1" s="365"/>
      <c r="F1" s="154"/>
      <c r="H1" s="154"/>
      <c r="S1" s="15"/>
      <c r="AF1" s="164"/>
      <c r="AH1" s="103"/>
    </row>
    <row r="2" spans="1:34">
      <c r="A2" s="151" t="s">
        <v>367</v>
      </c>
      <c r="C2" s="156"/>
      <c r="D2" s="157"/>
      <c r="E2" s="157"/>
      <c r="AF2" s="164"/>
    </row>
    <row r="3" spans="1:34">
      <c r="A3" s="316" t="s">
        <v>1</v>
      </c>
      <c r="B3" s="317">
        <f>COUNT(C13:C305)</f>
        <v>293</v>
      </c>
      <c r="E3" s="160"/>
      <c r="H3" s="161"/>
      <c r="I3" s="160"/>
      <c r="J3" s="160"/>
      <c r="K3" s="160"/>
      <c r="O3" s="162"/>
      <c r="P3" s="162"/>
      <c r="Q3" s="162"/>
      <c r="R3" s="162"/>
      <c r="S3" s="128"/>
      <c r="T3" s="173"/>
      <c r="U3" s="334"/>
      <c r="V3" s="160"/>
      <c r="W3" s="160"/>
      <c r="X3" s="160"/>
      <c r="Y3" s="160"/>
      <c r="Z3" s="160"/>
      <c r="AA3" s="160"/>
      <c r="AB3" s="160"/>
      <c r="AC3" s="160"/>
      <c r="AD3" s="160"/>
      <c r="AE3" s="188"/>
      <c r="AF3" s="164"/>
    </row>
    <row r="4" spans="1:34">
      <c r="A4" s="151" t="s">
        <v>676</v>
      </c>
      <c r="B4" s="151" t="s">
        <v>687</v>
      </c>
      <c r="F4" s="131"/>
      <c r="H4" s="161"/>
      <c r="J4" s="26"/>
      <c r="U4" s="178" t="s">
        <v>861</v>
      </c>
      <c r="V4" s="189"/>
      <c r="W4" s="189"/>
      <c r="X4" s="189"/>
      <c r="Y4" s="189"/>
      <c r="Z4" s="189"/>
      <c r="AA4" s="189"/>
      <c r="AB4" s="189"/>
      <c r="AC4" s="189"/>
      <c r="AF4" s="164"/>
    </row>
    <row r="5" spans="1:34" ht="29.25">
      <c r="A5" s="90" t="s">
        <v>677</v>
      </c>
      <c r="B5" s="90" t="s">
        <v>683</v>
      </c>
      <c r="E5" s="42"/>
      <c r="G5" s="146"/>
      <c r="H5" s="146"/>
      <c r="I5" s="164"/>
      <c r="L5" s="160"/>
      <c r="M5" s="160"/>
      <c r="N5" s="160"/>
      <c r="O5" s="160"/>
      <c r="P5" s="160"/>
      <c r="Q5" s="160"/>
      <c r="R5" s="160"/>
      <c r="S5" s="160"/>
      <c r="T5" s="160"/>
      <c r="U5" s="348" t="s">
        <v>662</v>
      </c>
      <c r="V5" s="218" t="s">
        <v>689</v>
      </c>
      <c r="W5" s="218" t="s">
        <v>690</v>
      </c>
      <c r="X5" s="218" t="s">
        <v>663</v>
      </c>
      <c r="Y5" s="218" t="s">
        <v>664</v>
      </c>
      <c r="Z5" s="218" t="s">
        <v>372</v>
      </c>
      <c r="AA5" s="219" t="s">
        <v>665</v>
      </c>
      <c r="AB5" s="218" t="s">
        <v>666</v>
      </c>
      <c r="AC5" s="218" t="s">
        <v>860</v>
      </c>
      <c r="AE5" s="163"/>
      <c r="AF5" s="164"/>
    </row>
    <row r="6" spans="1:34">
      <c r="A6" s="90" t="s">
        <v>678</v>
      </c>
      <c r="B6" s="90" t="s">
        <v>684</v>
      </c>
      <c r="G6" s="146"/>
      <c r="H6" s="146"/>
      <c r="I6" s="164"/>
      <c r="L6" s="132"/>
      <c r="M6" s="146"/>
      <c r="N6" s="146"/>
      <c r="O6" s="146"/>
      <c r="P6" s="146"/>
      <c r="S6" s="165"/>
      <c r="T6" s="168"/>
      <c r="U6" s="322">
        <v>69.040000000000006</v>
      </c>
      <c r="V6" s="323">
        <v>293.04000000000002</v>
      </c>
      <c r="W6" s="323">
        <v>293.04000000000002</v>
      </c>
      <c r="X6" s="323">
        <v>1771.11</v>
      </c>
      <c r="Y6" s="323">
        <v>41.39</v>
      </c>
      <c r="Z6" s="323">
        <v>403.34</v>
      </c>
      <c r="AA6" s="323">
        <v>295.04000000000002</v>
      </c>
      <c r="AB6" s="323">
        <v>28.34</v>
      </c>
      <c r="AC6" s="323">
        <v>844.58</v>
      </c>
      <c r="AE6" s="167"/>
      <c r="AF6" s="345"/>
    </row>
    <row r="7" spans="1:34">
      <c r="A7" s="90" t="s">
        <v>679</v>
      </c>
      <c r="B7" s="171" t="s">
        <v>685</v>
      </c>
      <c r="E7" s="42"/>
      <c r="I7" s="164"/>
      <c r="L7" s="42"/>
      <c r="M7" s="146"/>
      <c r="T7" s="146"/>
      <c r="AF7" s="167"/>
    </row>
    <row r="8" spans="1:34" s="149" customFormat="1">
      <c r="A8" s="90" t="s">
        <v>680</v>
      </c>
      <c r="B8" s="172" t="s">
        <v>686</v>
      </c>
      <c r="C8" s="337"/>
      <c r="D8" s="337"/>
      <c r="E8" s="337"/>
      <c r="F8" s="337"/>
      <c r="G8" s="337"/>
      <c r="H8" s="337"/>
      <c r="I8" s="337"/>
      <c r="J8" s="337"/>
      <c r="K8" s="337"/>
      <c r="L8" s="337"/>
      <c r="M8" s="337"/>
      <c r="N8" s="337"/>
      <c r="O8" s="337"/>
      <c r="P8" s="337"/>
      <c r="Q8" s="337"/>
      <c r="R8" s="337"/>
      <c r="S8" s="337"/>
      <c r="T8" s="337"/>
      <c r="U8" s="334"/>
      <c r="V8" s="160"/>
      <c r="W8" s="160"/>
      <c r="X8" s="160"/>
      <c r="Y8" s="160"/>
      <c r="Z8" s="160"/>
      <c r="AA8" s="160"/>
      <c r="AB8" s="160"/>
      <c r="AC8" s="160"/>
      <c r="AD8" s="160"/>
      <c r="AE8" s="160"/>
      <c r="AF8" s="160"/>
      <c r="AG8" s="150"/>
    </row>
    <row r="9" spans="1:34" s="149" customFormat="1" ht="14.25">
      <c r="A9" s="191"/>
      <c r="B9" s="192"/>
      <c r="C9" s="181"/>
      <c r="D9" s="181"/>
      <c r="E9" s="181"/>
      <c r="F9" s="181"/>
      <c r="G9" s="181"/>
      <c r="H9" s="181"/>
      <c r="I9" s="181"/>
      <c r="J9" s="181"/>
      <c r="K9" s="181"/>
      <c r="L9" s="181"/>
      <c r="M9" s="181"/>
      <c r="N9" s="182"/>
      <c r="O9" s="181"/>
      <c r="P9" s="181"/>
      <c r="Q9" s="181"/>
      <c r="R9" s="181"/>
      <c r="S9" s="183"/>
      <c r="T9" s="181"/>
      <c r="U9" s="179"/>
      <c r="V9" s="180"/>
      <c r="W9" s="180"/>
      <c r="X9" s="180"/>
      <c r="Y9" s="180"/>
      <c r="Z9" s="180"/>
      <c r="AA9" s="180"/>
      <c r="AB9" s="180"/>
      <c r="AC9" s="180"/>
      <c r="AD9" s="180"/>
      <c r="AE9" s="349"/>
      <c r="AF9" s="350"/>
      <c r="AG9" s="150"/>
    </row>
    <row r="10" spans="1:34" s="31" customFormat="1">
      <c r="A10" s="185"/>
      <c r="B10" s="185"/>
      <c r="C10" s="184" t="s">
        <v>369</v>
      </c>
      <c r="D10" s="185"/>
      <c r="E10" s="185"/>
      <c r="F10" s="185"/>
      <c r="G10" s="185"/>
      <c r="H10" s="185"/>
      <c r="I10" s="185"/>
      <c r="J10" s="185"/>
      <c r="K10" s="185"/>
      <c r="L10" s="185"/>
      <c r="M10" s="185"/>
      <c r="N10" s="185"/>
      <c r="O10" s="185"/>
      <c r="P10" s="185"/>
      <c r="Q10" s="185"/>
      <c r="R10" s="185"/>
      <c r="S10" s="187"/>
      <c r="T10" s="185"/>
      <c r="U10" s="175" t="s">
        <v>688</v>
      </c>
      <c r="V10" s="176"/>
      <c r="W10" s="176"/>
      <c r="X10" s="176"/>
      <c r="Y10" s="176"/>
      <c r="Z10" s="176"/>
      <c r="AA10" s="176"/>
      <c r="AB10" s="176"/>
      <c r="AC10" s="176"/>
      <c r="AD10" s="176"/>
      <c r="AE10" s="104"/>
      <c r="AF10" s="351"/>
    </row>
    <row r="11" spans="1:34" s="212" customFormat="1" ht="62.25" customHeight="1">
      <c r="A11" s="214" t="s">
        <v>2</v>
      </c>
      <c r="B11" s="212" t="s">
        <v>3</v>
      </c>
      <c r="C11" s="392" t="s">
        <v>846</v>
      </c>
      <c r="D11" s="373" t="s">
        <v>852</v>
      </c>
      <c r="E11" s="374" t="s">
        <v>853</v>
      </c>
      <c r="F11" s="374" t="s">
        <v>854</v>
      </c>
      <c r="G11" s="375" t="s">
        <v>674</v>
      </c>
      <c r="H11" s="373" t="s">
        <v>675</v>
      </c>
      <c r="I11" s="380" t="s">
        <v>855</v>
      </c>
      <c r="J11" s="392" t="s">
        <v>856</v>
      </c>
      <c r="K11" s="373" t="s">
        <v>863</v>
      </c>
      <c r="L11" s="393" t="s">
        <v>864</v>
      </c>
      <c r="M11" s="375" t="s">
        <v>681</v>
      </c>
      <c r="N11" s="373" t="s">
        <v>682</v>
      </c>
      <c r="O11" s="375" t="s">
        <v>857</v>
      </c>
      <c r="P11" s="373" t="s">
        <v>858</v>
      </c>
      <c r="Q11" s="374" t="s">
        <v>859</v>
      </c>
      <c r="R11" s="399" t="s">
        <v>732</v>
      </c>
      <c r="S11" s="375" t="s">
        <v>747</v>
      </c>
      <c r="T11" s="374" t="s">
        <v>865</v>
      </c>
      <c r="U11" s="226" t="s">
        <v>662</v>
      </c>
      <c r="V11" s="216" t="s">
        <v>689</v>
      </c>
      <c r="W11" s="216" t="s">
        <v>690</v>
      </c>
      <c r="X11" s="216" t="s">
        <v>663</v>
      </c>
      <c r="Y11" s="216" t="s">
        <v>664</v>
      </c>
      <c r="Z11" s="216" t="s">
        <v>372</v>
      </c>
      <c r="AA11" s="216" t="s">
        <v>665</v>
      </c>
      <c r="AB11" s="216" t="s">
        <v>666</v>
      </c>
      <c r="AC11" s="216" t="s">
        <v>862</v>
      </c>
      <c r="AD11" s="217" t="s">
        <v>691</v>
      </c>
      <c r="AE11" s="306"/>
      <c r="AF11" s="205"/>
    </row>
    <row r="12" spans="1:34" s="45" customFormat="1">
      <c r="B12" s="151" t="s">
        <v>371</v>
      </c>
      <c r="C12" s="249">
        <f>SUM(C13:C305)</f>
        <v>5573310</v>
      </c>
      <c r="D12" s="134">
        <f>SUM(D13:D305)</f>
        <v>258748.00000000012</v>
      </c>
      <c r="E12" s="41">
        <f>SUM(E13:E305)</f>
        <v>2633250</v>
      </c>
      <c r="F12" s="332">
        <f>D12/E12</f>
        <v>9.8261843729231982E-2</v>
      </c>
      <c r="G12" s="376">
        <f>F12/$F$12</f>
        <v>1</v>
      </c>
      <c r="H12" s="381"/>
      <c r="I12" s="382">
        <f>SUM(I13:I305)</f>
        <v>259933</v>
      </c>
      <c r="J12" s="388">
        <f>SUM(J13:J305)</f>
        <v>555250</v>
      </c>
      <c r="K12" s="269">
        <f>SUM(K13:K305)</f>
        <v>302429.84000000032</v>
      </c>
      <c r="L12" s="126">
        <f>C12/K12</f>
        <v>18.42843946880372</v>
      </c>
      <c r="M12" s="377">
        <f>$L$12/L12</f>
        <v>1</v>
      </c>
      <c r="N12" s="381"/>
      <c r="O12" s="382">
        <f>SUM(O13:O305)</f>
        <v>32651</v>
      </c>
      <c r="P12" s="400">
        <f>SUM(P13:P305)</f>
        <v>1767800</v>
      </c>
      <c r="Q12" s="34">
        <f>SUM(Q13:Q305)</f>
        <v>247077</v>
      </c>
      <c r="R12" s="165">
        <v>0.1397652449372101</v>
      </c>
      <c r="S12" s="401">
        <v>1</v>
      </c>
      <c r="T12" s="34">
        <f>SUM(T13:T305)</f>
        <v>370040</v>
      </c>
      <c r="U12" s="169">
        <f>SUM(U13:U305)</f>
        <v>384949937.08554</v>
      </c>
      <c r="V12" s="169">
        <f t="shared" ref="V12:AC12" si="0">SUM(V13:V305)</f>
        <v>39356124.746400006</v>
      </c>
      <c r="W12" s="169">
        <f t="shared" si="0"/>
        <v>66343749.040800005</v>
      </c>
      <c r="X12" s="169">
        <f t="shared" si="0"/>
        <v>983408827.4999994</v>
      </c>
      <c r="Y12" s="169">
        <f t="shared" si="0"/>
        <v>208432972.45248348</v>
      </c>
      <c r="Z12" s="169">
        <f t="shared" si="0"/>
        <v>14724330.039999999</v>
      </c>
      <c r="AA12" s="169">
        <f t="shared" si="0"/>
        <v>9633351.0399999991</v>
      </c>
      <c r="AB12" s="169">
        <f t="shared" si="0"/>
        <v>156267636.49600655</v>
      </c>
      <c r="AC12" s="169">
        <f t="shared" si="0"/>
        <v>312528383.19999999</v>
      </c>
      <c r="AD12" s="174">
        <f>SUM(AD13:AD305)</f>
        <v>2175645311.6012278</v>
      </c>
      <c r="AE12" s="105"/>
      <c r="AF12" s="62"/>
    </row>
    <row r="13" spans="1:34" s="45" customFormat="1">
      <c r="A13" s="90">
        <v>5</v>
      </c>
      <c r="B13" s="151" t="s">
        <v>12</v>
      </c>
      <c r="C13" s="395">
        <v>9113</v>
      </c>
      <c r="D13" s="134">
        <v>236.33333333333334</v>
      </c>
      <c r="E13" s="41">
        <v>3701</v>
      </c>
      <c r="F13" s="332">
        <f t="shared" ref="F13:F76" si="1">D13/E13</f>
        <v>6.3856615329190305E-2</v>
      </c>
      <c r="G13" s="377">
        <f>Muut[[#This Row],[Keskim. työttömyysaste 2023, %]]/$F$12</f>
        <v>0.64986176633477477</v>
      </c>
      <c r="H13" s="166">
        <v>0</v>
      </c>
      <c r="I13" s="383">
        <v>14</v>
      </c>
      <c r="J13" s="389">
        <v>410</v>
      </c>
      <c r="K13" s="269">
        <v>1008.85</v>
      </c>
      <c r="L13" s="170">
        <f>C13/K13</f>
        <v>9.0330574416414731</v>
      </c>
      <c r="M13" s="377">
        <v>2.0401109577639231</v>
      </c>
      <c r="N13" s="166">
        <v>0</v>
      </c>
      <c r="O13" s="397">
        <v>0</v>
      </c>
      <c r="P13" s="269">
        <v>2254</v>
      </c>
      <c r="Q13" s="15">
        <v>274</v>
      </c>
      <c r="R13" s="158">
        <v>0.12156166814551908</v>
      </c>
      <c r="S13" s="401">
        <v>0.86975605559258296</v>
      </c>
      <c r="T13" s="153">
        <v>411</v>
      </c>
      <c r="U13" s="197">
        <v>408868.01669707173</v>
      </c>
      <c r="V13" s="159">
        <v>0</v>
      </c>
      <c r="W13" s="159">
        <v>0</v>
      </c>
      <c r="X13" s="159">
        <v>726155.1</v>
      </c>
      <c r="Y13" s="159">
        <v>769503.47463386797</v>
      </c>
      <c r="Z13" s="159">
        <v>0</v>
      </c>
      <c r="AA13" s="155">
        <v>0</v>
      </c>
      <c r="AB13" s="159">
        <v>224625.30372699501</v>
      </c>
      <c r="AC13" s="159">
        <v>347122.38</v>
      </c>
      <c r="AD13" s="174">
        <f>SUM(Muut[[#This Row],[Työttömyysaste]:[Työttömät ja palveluissa olevat ]])</f>
        <v>2476274.2750579342</v>
      </c>
      <c r="AF13" s="62"/>
    </row>
    <row r="14" spans="1:34" s="45" customFormat="1">
      <c r="A14" s="90">
        <v>9</v>
      </c>
      <c r="B14" s="151" t="s">
        <v>13</v>
      </c>
      <c r="C14" s="395">
        <v>2437</v>
      </c>
      <c r="D14" s="134">
        <v>91.5</v>
      </c>
      <c r="E14" s="41">
        <v>1064</v>
      </c>
      <c r="F14" s="332">
        <f t="shared" si="1"/>
        <v>8.5996240601503765E-2</v>
      </c>
      <c r="G14" s="377">
        <f>Muut[[#This Row],[Keskim. työttömyysaste 2023, %]]/$F$12</f>
        <v>0.87517430304353927</v>
      </c>
      <c r="H14" s="166">
        <v>0</v>
      </c>
      <c r="I14" s="383">
        <v>4</v>
      </c>
      <c r="J14" s="389">
        <v>47</v>
      </c>
      <c r="K14" s="269">
        <v>251.54</v>
      </c>
      <c r="L14" s="170">
        <f t="shared" ref="L14:L77" si="2">C14/K14</f>
        <v>9.6883199491134615</v>
      </c>
      <c r="M14" s="377">
        <v>1.9021295297426704</v>
      </c>
      <c r="N14" s="166">
        <v>0</v>
      </c>
      <c r="O14" s="397">
        <v>0</v>
      </c>
      <c r="P14" s="269">
        <v>644</v>
      </c>
      <c r="Q14" s="15">
        <v>82</v>
      </c>
      <c r="R14" s="158">
        <v>0.12732919254658384</v>
      </c>
      <c r="S14" s="401">
        <v>0.91102185385062517</v>
      </c>
      <c r="T14" s="153">
        <v>123</v>
      </c>
      <c r="U14" s="197">
        <v>147248.49657074094</v>
      </c>
      <c r="V14" s="159">
        <v>0</v>
      </c>
      <c r="W14" s="159">
        <v>0</v>
      </c>
      <c r="X14" s="159">
        <v>83242.17</v>
      </c>
      <c r="Y14" s="159">
        <v>191862.91719225171</v>
      </c>
      <c r="Z14" s="159">
        <v>0</v>
      </c>
      <c r="AA14" s="155">
        <v>0</v>
      </c>
      <c r="AB14" s="159">
        <v>62919.341707014806</v>
      </c>
      <c r="AC14" s="159">
        <v>103883.34000000001</v>
      </c>
      <c r="AD14" s="174">
        <f>SUM(Muut[[#This Row],[Työttömyysaste]:[Työttömät ja palveluissa olevat ]])</f>
        <v>589156.26547000743</v>
      </c>
      <c r="AF14" s="62"/>
    </row>
    <row r="15" spans="1:34" s="45" customFormat="1">
      <c r="A15" s="90">
        <v>10</v>
      </c>
      <c r="B15" s="151" t="s">
        <v>14</v>
      </c>
      <c r="C15" s="395">
        <v>10933</v>
      </c>
      <c r="D15" s="134">
        <v>317.58333333333331</v>
      </c>
      <c r="E15" s="41">
        <v>4530</v>
      </c>
      <c r="F15" s="332">
        <f t="shared" si="1"/>
        <v>7.0106696100073584E-2</v>
      </c>
      <c r="G15" s="377">
        <f>Muut[[#This Row],[Keskim. työttömyysaste 2023, %]]/$F$12</f>
        <v>0.71346815243216832</v>
      </c>
      <c r="H15" s="166">
        <v>0</v>
      </c>
      <c r="I15" s="383">
        <v>6</v>
      </c>
      <c r="J15" s="389">
        <v>278</v>
      </c>
      <c r="K15" s="269">
        <v>1087.18</v>
      </c>
      <c r="L15" s="170">
        <f t="shared" si="2"/>
        <v>10.056292426277157</v>
      </c>
      <c r="M15" s="377">
        <v>1.8325282010147288</v>
      </c>
      <c r="N15" s="166">
        <v>0</v>
      </c>
      <c r="O15" s="397">
        <v>0</v>
      </c>
      <c r="P15" s="269">
        <v>2879</v>
      </c>
      <c r="Q15" s="15">
        <v>390</v>
      </c>
      <c r="R15" s="158">
        <v>0.13546370267453978</v>
      </c>
      <c r="S15" s="401">
        <v>0.96922309072900925</v>
      </c>
      <c r="T15" s="153">
        <v>514</v>
      </c>
      <c r="U15" s="197">
        <v>538535.97831974353</v>
      </c>
      <c r="V15" s="159">
        <v>0</v>
      </c>
      <c r="W15" s="159">
        <v>0</v>
      </c>
      <c r="X15" s="159">
        <v>492368.57999999996</v>
      </c>
      <c r="Y15" s="159">
        <v>829249.92570991581</v>
      </c>
      <c r="Z15" s="159">
        <v>0</v>
      </c>
      <c r="AA15" s="155">
        <v>0</v>
      </c>
      <c r="AB15" s="159">
        <v>300305.26488364692</v>
      </c>
      <c r="AC15" s="159">
        <v>434114.12</v>
      </c>
      <c r="AD15" s="174">
        <f>SUM(Muut[[#This Row],[Työttömyysaste]:[Työttömät ja palveluissa olevat ]])</f>
        <v>2594573.8689133064</v>
      </c>
      <c r="AF15" s="62"/>
    </row>
    <row r="16" spans="1:34" s="45" customFormat="1">
      <c r="A16" s="90">
        <v>16</v>
      </c>
      <c r="B16" s="151" t="s">
        <v>15</v>
      </c>
      <c r="C16" s="395">
        <v>7968</v>
      </c>
      <c r="D16" s="134">
        <v>285.91666666666669</v>
      </c>
      <c r="E16" s="41">
        <v>3256</v>
      </c>
      <c r="F16" s="332">
        <f t="shared" si="1"/>
        <v>8.7812244062244069E-2</v>
      </c>
      <c r="G16" s="377">
        <f>Muut[[#This Row],[Keskim. työttömyysaste 2023, %]]/$F$12</f>
        <v>0.89365557096829384</v>
      </c>
      <c r="H16" s="166">
        <v>0</v>
      </c>
      <c r="I16" s="383">
        <v>12</v>
      </c>
      <c r="J16" s="389">
        <v>257</v>
      </c>
      <c r="K16" s="269">
        <v>563.41</v>
      </c>
      <c r="L16" s="170">
        <f t="shared" si="2"/>
        <v>14.142453985552264</v>
      </c>
      <c r="M16" s="377">
        <v>1.3030581176102789</v>
      </c>
      <c r="N16" s="166">
        <v>3</v>
      </c>
      <c r="O16" s="397">
        <v>474</v>
      </c>
      <c r="P16" s="269">
        <v>2103</v>
      </c>
      <c r="Q16" s="15">
        <v>316</v>
      </c>
      <c r="R16" s="158">
        <v>0.15026153114598192</v>
      </c>
      <c r="S16" s="401">
        <v>1.0750994012387509</v>
      </c>
      <c r="T16" s="153">
        <v>414</v>
      </c>
      <c r="U16" s="197">
        <v>491609.50957737933</v>
      </c>
      <c r="V16" s="159">
        <v>0</v>
      </c>
      <c r="W16" s="159">
        <v>0</v>
      </c>
      <c r="X16" s="159">
        <v>455175.26999999996</v>
      </c>
      <c r="Y16" s="159">
        <v>429742.72948750306</v>
      </c>
      <c r="Z16" s="159">
        <v>0</v>
      </c>
      <c r="AA16" s="155">
        <v>139848.96000000002</v>
      </c>
      <c r="AB16" s="159">
        <v>242771.55010385424</v>
      </c>
      <c r="AC16" s="159">
        <v>349656.12</v>
      </c>
      <c r="AD16" s="174">
        <f>SUM(Muut[[#This Row],[Työttömyysaste]:[Työttömät ja palveluissa olevat ]])</f>
        <v>2108804.1391687365</v>
      </c>
      <c r="AF16" s="62"/>
    </row>
    <row r="17" spans="1:32" s="45" customFormat="1">
      <c r="A17" s="90">
        <v>18</v>
      </c>
      <c r="B17" s="151" t="s">
        <v>16</v>
      </c>
      <c r="C17" s="395">
        <v>4700</v>
      </c>
      <c r="D17" s="134">
        <v>145.08333333333334</v>
      </c>
      <c r="E17" s="41">
        <v>2394</v>
      </c>
      <c r="F17" s="332">
        <f t="shared" si="1"/>
        <v>6.0602896129211922E-2</v>
      </c>
      <c r="G17" s="377">
        <f>Muut[[#This Row],[Keskim. työttömyysaste 2023, %]]/$F$12</f>
        <v>0.61674902311224522</v>
      </c>
      <c r="H17" s="166">
        <v>0</v>
      </c>
      <c r="I17" s="383">
        <v>180</v>
      </c>
      <c r="J17" s="389">
        <v>184</v>
      </c>
      <c r="K17" s="269">
        <v>212.44</v>
      </c>
      <c r="L17" s="170">
        <f t="shared" si="2"/>
        <v>22.123893805309734</v>
      </c>
      <c r="M17" s="377">
        <v>0.83296546398992821</v>
      </c>
      <c r="N17" s="166">
        <v>0</v>
      </c>
      <c r="O17" s="397">
        <v>0</v>
      </c>
      <c r="P17" s="269">
        <v>1511</v>
      </c>
      <c r="Q17" s="15">
        <v>219</v>
      </c>
      <c r="R17" s="158">
        <v>0.14493712772998016</v>
      </c>
      <c r="S17" s="401">
        <v>1.0370040691811011</v>
      </c>
      <c r="T17" s="153">
        <v>209</v>
      </c>
      <c r="U17" s="197">
        <v>200127.65701164625</v>
      </c>
      <c r="V17" s="159">
        <v>0</v>
      </c>
      <c r="W17" s="159">
        <v>0</v>
      </c>
      <c r="X17" s="159">
        <v>325884.24</v>
      </c>
      <c r="Y17" s="159">
        <v>162039.27060635271</v>
      </c>
      <c r="Z17" s="159">
        <v>0</v>
      </c>
      <c r="AA17" s="155">
        <v>0</v>
      </c>
      <c r="AB17" s="159">
        <v>138126.86800678432</v>
      </c>
      <c r="AC17" s="159">
        <v>176517.22</v>
      </c>
      <c r="AD17" s="174">
        <f>SUM(Muut[[#This Row],[Työttömyysaste]:[Työttömät ja palveluissa olevat ]])</f>
        <v>1002695.2556247833</v>
      </c>
      <c r="AF17" s="62"/>
    </row>
    <row r="18" spans="1:32" s="45" customFormat="1">
      <c r="A18" s="90">
        <v>19</v>
      </c>
      <c r="B18" s="151" t="s">
        <v>17</v>
      </c>
      <c r="C18" s="395">
        <v>3961</v>
      </c>
      <c r="D18" s="134">
        <v>115.75</v>
      </c>
      <c r="E18" s="41">
        <v>1913</v>
      </c>
      <c r="F18" s="332">
        <f t="shared" si="1"/>
        <v>6.0507056978567696E-2</v>
      </c>
      <c r="G18" s="377">
        <f>Muut[[#This Row],[Keskim. työttömyysaste 2023, %]]/$F$12</f>
        <v>0.61577367859389565</v>
      </c>
      <c r="H18" s="166">
        <v>0</v>
      </c>
      <c r="I18" s="383">
        <v>23</v>
      </c>
      <c r="J18" s="389">
        <v>115</v>
      </c>
      <c r="K18" s="269">
        <v>95.01</v>
      </c>
      <c r="L18" s="170">
        <f t="shared" si="2"/>
        <v>41.690348384380592</v>
      </c>
      <c r="M18" s="377">
        <v>0.44203131379223465</v>
      </c>
      <c r="N18" s="166">
        <v>0</v>
      </c>
      <c r="O18" s="397">
        <v>0</v>
      </c>
      <c r="P18" s="269">
        <v>1309</v>
      </c>
      <c r="Q18" s="15">
        <v>181</v>
      </c>
      <c r="R18" s="158">
        <v>0.1382734912146677</v>
      </c>
      <c r="S18" s="401">
        <v>0.98932671907660186</v>
      </c>
      <c r="T18" s="153">
        <v>156</v>
      </c>
      <c r="U18" s="197">
        <v>168394.05150445545</v>
      </c>
      <c r="V18" s="159">
        <v>0</v>
      </c>
      <c r="W18" s="159">
        <v>0</v>
      </c>
      <c r="X18" s="159">
        <v>203677.65</v>
      </c>
      <c r="Y18" s="159">
        <v>72469.172944405815</v>
      </c>
      <c r="Z18" s="159">
        <v>0</v>
      </c>
      <c r="AA18" s="155">
        <v>0</v>
      </c>
      <c r="AB18" s="159">
        <v>111056.61362499699</v>
      </c>
      <c r="AC18" s="159">
        <v>131754.48000000001</v>
      </c>
      <c r="AD18" s="174">
        <f>SUM(Muut[[#This Row],[Työttömyysaste]:[Työttömät ja palveluissa olevat ]])</f>
        <v>687351.96807385818</v>
      </c>
      <c r="AF18" s="62"/>
    </row>
    <row r="19" spans="1:32" s="45" customFormat="1">
      <c r="A19" s="90">
        <v>20</v>
      </c>
      <c r="B19" s="151" t="s">
        <v>18</v>
      </c>
      <c r="C19" s="395">
        <v>16405</v>
      </c>
      <c r="D19" s="134">
        <v>665.25</v>
      </c>
      <c r="E19" s="41">
        <v>7598</v>
      </c>
      <c r="F19" s="332">
        <f t="shared" si="1"/>
        <v>8.755593577257173E-2</v>
      </c>
      <c r="G19" s="377">
        <f>Muut[[#This Row],[Keskim. työttömyysaste 2023, %]]/$F$12</f>
        <v>0.89104714963255527</v>
      </c>
      <c r="H19" s="166">
        <v>0</v>
      </c>
      <c r="I19" s="383">
        <v>28</v>
      </c>
      <c r="J19" s="389">
        <v>492</v>
      </c>
      <c r="K19" s="269">
        <v>293.27</v>
      </c>
      <c r="L19" s="170">
        <f t="shared" si="2"/>
        <v>55.938213932553623</v>
      </c>
      <c r="M19" s="377">
        <v>0.32944275787967492</v>
      </c>
      <c r="N19" s="166">
        <v>0</v>
      </c>
      <c r="O19" s="397">
        <v>0</v>
      </c>
      <c r="P19" s="269">
        <v>5244</v>
      </c>
      <c r="Q19" s="15">
        <v>632</v>
      </c>
      <c r="R19" s="158">
        <v>0.12051868802440885</v>
      </c>
      <c r="S19" s="401">
        <v>0.86229368451757937</v>
      </c>
      <c r="T19" s="153">
        <v>1024</v>
      </c>
      <c r="U19" s="197">
        <v>1009201.0709304118</v>
      </c>
      <c r="V19" s="159">
        <v>0</v>
      </c>
      <c r="W19" s="159">
        <v>0</v>
      </c>
      <c r="X19" s="159">
        <v>871386.12</v>
      </c>
      <c r="Y19" s="159">
        <v>223692.60445643502</v>
      </c>
      <c r="Z19" s="159">
        <v>0</v>
      </c>
      <c r="AA19" s="155">
        <v>0</v>
      </c>
      <c r="AB19" s="159">
        <v>400895.59653043858</v>
      </c>
      <c r="AC19" s="159">
        <v>864849.92000000004</v>
      </c>
      <c r="AD19" s="174">
        <f>SUM(Muut[[#This Row],[Työttömyysaste]:[Työttömät ja palveluissa olevat ]])</f>
        <v>3370025.311917285</v>
      </c>
      <c r="AF19" s="62"/>
    </row>
    <row r="20" spans="1:32" s="45" customFormat="1">
      <c r="A20" s="90">
        <v>46</v>
      </c>
      <c r="B20" s="151" t="s">
        <v>19</v>
      </c>
      <c r="C20" s="395">
        <v>1320</v>
      </c>
      <c r="D20" s="134">
        <v>45.916666666666664</v>
      </c>
      <c r="E20" s="41">
        <v>520</v>
      </c>
      <c r="F20" s="332">
        <f t="shared" si="1"/>
        <v>8.8301282051282043E-2</v>
      </c>
      <c r="G20" s="377">
        <f>Muut[[#This Row],[Keskim. työttömyysaste 2023, %]]/$F$12</f>
        <v>0.89863245691382476</v>
      </c>
      <c r="H20" s="166">
        <v>0</v>
      </c>
      <c r="I20" s="383">
        <v>2</v>
      </c>
      <c r="J20" s="389">
        <v>49</v>
      </c>
      <c r="K20" s="269">
        <v>305.58999999999997</v>
      </c>
      <c r="L20" s="170">
        <f t="shared" si="2"/>
        <v>4.3195130730717635</v>
      </c>
      <c r="M20" s="377">
        <v>4.2663233464179759</v>
      </c>
      <c r="N20" s="166">
        <v>1</v>
      </c>
      <c r="O20" s="397">
        <v>0</v>
      </c>
      <c r="P20" s="269">
        <v>310</v>
      </c>
      <c r="Q20" s="15">
        <v>46</v>
      </c>
      <c r="R20" s="158">
        <v>0.14838709677419354</v>
      </c>
      <c r="S20" s="401">
        <v>1.0616880959272588</v>
      </c>
      <c r="T20" s="153">
        <v>66</v>
      </c>
      <c r="U20" s="197">
        <v>81894.891969436212</v>
      </c>
      <c r="V20" s="159">
        <v>0</v>
      </c>
      <c r="W20" s="159">
        <v>0</v>
      </c>
      <c r="X20" s="159">
        <v>86784.39</v>
      </c>
      <c r="Y20" s="159">
        <v>233089.72276687683</v>
      </c>
      <c r="Z20" s="159">
        <v>532408.79999999993</v>
      </c>
      <c r="AA20" s="155">
        <v>0</v>
      </c>
      <c r="AB20" s="159">
        <v>39716.477642923637</v>
      </c>
      <c r="AC20" s="159">
        <v>55742.280000000006</v>
      </c>
      <c r="AD20" s="174">
        <f>SUM(Muut[[#This Row],[Työttömyysaste]:[Työttömät ja palveluissa olevat ]])</f>
        <v>1029636.5623792366</v>
      </c>
      <c r="AF20" s="62"/>
    </row>
    <row r="21" spans="1:32" s="45" customFormat="1">
      <c r="A21" s="90">
        <v>47</v>
      </c>
      <c r="B21" s="151" t="s">
        <v>20</v>
      </c>
      <c r="C21" s="395">
        <v>1771</v>
      </c>
      <c r="D21" s="134">
        <v>105.08333333333333</v>
      </c>
      <c r="E21" s="41">
        <v>869</v>
      </c>
      <c r="F21" s="332">
        <f t="shared" si="1"/>
        <v>0.12092443421557345</v>
      </c>
      <c r="G21" s="377">
        <f>Muut[[#This Row],[Keskim. työttömyysaste 2023, %]]/$F$12</f>
        <v>1.230634696299715</v>
      </c>
      <c r="H21" s="166">
        <v>0</v>
      </c>
      <c r="I21" s="383">
        <v>14</v>
      </c>
      <c r="J21" s="389">
        <v>59</v>
      </c>
      <c r="K21" s="269">
        <v>7953.44</v>
      </c>
      <c r="L21" s="170">
        <f t="shared" si="2"/>
        <v>0.22267094489931402</v>
      </c>
      <c r="M21" s="377">
        <v>82.760862568471069</v>
      </c>
      <c r="N21" s="166">
        <v>0</v>
      </c>
      <c r="O21" s="397">
        <v>0</v>
      </c>
      <c r="P21" s="269">
        <v>524</v>
      </c>
      <c r="Q21" s="15">
        <v>74</v>
      </c>
      <c r="R21" s="158">
        <v>0.14122137404580154</v>
      </c>
      <c r="S21" s="401">
        <v>1.0104183919918404</v>
      </c>
      <c r="T21" s="153">
        <v>133</v>
      </c>
      <c r="U21" s="197">
        <v>150469.50741501476</v>
      </c>
      <c r="V21" s="159">
        <v>0</v>
      </c>
      <c r="W21" s="159">
        <v>0</v>
      </c>
      <c r="X21" s="159">
        <v>104495.48999999999</v>
      </c>
      <c r="Y21" s="159">
        <v>1466033.8</v>
      </c>
      <c r="Z21" s="159">
        <v>0</v>
      </c>
      <c r="AA21" s="155">
        <v>0</v>
      </c>
      <c r="AB21" s="159">
        <v>50713.040552645347</v>
      </c>
      <c r="AC21" s="159">
        <v>112329.14</v>
      </c>
      <c r="AD21" s="174">
        <f>SUM(Muut[[#This Row],[Työttömyysaste]:[Työttömät ja palveluissa olevat ]])</f>
        <v>1884040.9779676602</v>
      </c>
      <c r="AF21" s="62"/>
    </row>
    <row r="22" spans="1:32" s="45" customFormat="1">
      <c r="A22" s="90">
        <v>49</v>
      </c>
      <c r="B22" s="151" t="s">
        <v>21</v>
      </c>
      <c r="C22" s="395">
        <v>314024</v>
      </c>
      <c r="D22" s="134">
        <v>13541.166666666666</v>
      </c>
      <c r="E22" s="41">
        <v>153753</v>
      </c>
      <c r="F22" s="332">
        <f t="shared" si="1"/>
        <v>8.8070910269501507E-2</v>
      </c>
      <c r="G22" s="377">
        <f>Muut[[#This Row],[Keskim. työttömyysaste 2023, %]]/$F$12</f>
        <v>0.896287988572529</v>
      </c>
      <c r="H22" s="166">
        <v>1</v>
      </c>
      <c r="I22" s="383">
        <v>20199</v>
      </c>
      <c r="J22" s="389">
        <v>74204</v>
      </c>
      <c r="K22" s="269">
        <v>312.38</v>
      </c>
      <c r="L22" s="170">
        <f t="shared" si="2"/>
        <v>1005.2628209232346</v>
      </c>
      <c r="M22" s="377">
        <v>1.8331961637533773E-2</v>
      </c>
      <c r="N22" s="166">
        <v>3</v>
      </c>
      <c r="O22" s="397">
        <v>638</v>
      </c>
      <c r="P22" s="269">
        <v>116547</v>
      </c>
      <c r="Q22" s="15">
        <v>20729</v>
      </c>
      <c r="R22" s="158">
        <v>0.1778595759650613</v>
      </c>
      <c r="S22" s="401">
        <v>1.2725593980460963</v>
      </c>
      <c r="T22" s="153">
        <v>19667</v>
      </c>
      <c r="U22" s="197">
        <v>19431718.050894432</v>
      </c>
      <c r="V22" s="159">
        <v>6441511.5072000008</v>
      </c>
      <c r="W22" s="159">
        <v>5504776.912800001</v>
      </c>
      <c r="X22" s="159">
        <v>131423446.44</v>
      </c>
      <c r="Y22" s="159">
        <v>238268.81638115447</v>
      </c>
      <c r="Z22" s="159">
        <v>0</v>
      </c>
      <c r="AA22" s="155">
        <v>188235.52000000002</v>
      </c>
      <c r="AB22" s="159">
        <v>11325066.212956855</v>
      </c>
      <c r="AC22" s="159">
        <v>16610354.860000001</v>
      </c>
      <c r="AD22" s="174">
        <f>SUM(Muut[[#This Row],[Työttömyysaste]:[Työttömät ja palveluissa olevat ]])</f>
        <v>191163378.32023245</v>
      </c>
      <c r="AF22" s="62"/>
    </row>
    <row r="23" spans="1:32" s="45" customFormat="1">
      <c r="A23" s="90">
        <v>50</v>
      </c>
      <c r="B23" s="151" t="s">
        <v>22</v>
      </c>
      <c r="C23" s="395">
        <v>11184</v>
      </c>
      <c r="D23" s="134">
        <v>332.91666666666669</v>
      </c>
      <c r="E23" s="41">
        <v>5100</v>
      </c>
      <c r="F23" s="332">
        <f t="shared" si="1"/>
        <v>6.5277777777777782E-2</v>
      </c>
      <c r="G23" s="377">
        <f>Muut[[#This Row],[Keskim. työttömyysaste 2023, %]]/$F$12</f>
        <v>0.66432478061022027</v>
      </c>
      <c r="H23" s="166">
        <v>0</v>
      </c>
      <c r="I23" s="383">
        <v>16</v>
      </c>
      <c r="J23" s="389">
        <v>486</v>
      </c>
      <c r="K23" s="269">
        <v>578.91</v>
      </c>
      <c r="L23" s="170">
        <f t="shared" si="2"/>
        <v>19.319065139659017</v>
      </c>
      <c r="M23" s="377">
        <v>0.95389913205339416</v>
      </c>
      <c r="N23" s="166">
        <v>0</v>
      </c>
      <c r="O23" s="397">
        <v>0</v>
      </c>
      <c r="P23" s="269">
        <v>3202</v>
      </c>
      <c r="Q23" s="15">
        <v>530</v>
      </c>
      <c r="R23" s="158">
        <v>0.16552154903185509</v>
      </c>
      <c r="S23" s="401">
        <v>1.1842826097876913</v>
      </c>
      <c r="T23" s="153">
        <v>460</v>
      </c>
      <c r="U23" s="197">
        <v>512953.96823163837</v>
      </c>
      <c r="V23" s="159">
        <v>0</v>
      </c>
      <c r="W23" s="159">
        <v>0</v>
      </c>
      <c r="X23" s="159">
        <v>860759.46</v>
      </c>
      <c r="Y23" s="159">
        <v>441565.40268651675</v>
      </c>
      <c r="Z23" s="159">
        <v>0</v>
      </c>
      <c r="AA23" s="155">
        <v>0</v>
      </c>
      <c r="AB23" s="159">
        <v>375363.77350090939</v>
      </c>
      <c r="AC23" s="159">
        <v>388506.80000000005</v>
      </c>
      <c r="AD23" s="174">
        <f>SUM(Muut[[#This Row],[Työttömyysaste]:[Työttömät ja palveluissa olevat ]])</f>
        <v>2579149.4044190645</v>
      </c>
      <c r="AF23" s="62"/>
    </row>
    <row r="24" spans="1:32" s="45" customFormat="1">
      <c r="A24" s="90">
        <v>51</v>
      </c>
      <c r="B24" s="151" t="s">
        <v>23</v>
      </c>
      <c r="C24" s="395">
        <v>9143</v>
      </c>
      <c r="D24" s="134">
        <v>257.91666666666669</v>
      </c>
      <c r="E24" s="41">
        <v>4160</v>
      </c>
      <c r="F24" s="332">
        <f t="shared" si="1"/>
        <v>6.199919871794872E-2</v>
      </c>
      <c r="G24" s="377">
        <f>Muut[[#This Row],[Keskim. työttömyysaste 2023, %]]/$F$12</f>
        <v>0.63095904132220693</v>
      </c>
      <c r="H24" s="166">
        <v>0</v>
      </c>
      <c r="I24" s="383">
        <v>31</v>
      </c>
      <c r="J24" s="389">
        <v>340</v>
      </c>
      <c r="K24" s="269">
        <v>515.03</v>
      </c>
      <c r="L24" s="170">
        <f t="shared" si="2"/>
        <v>17.752363939964663</v>
      </c>
      <c r="M24" s="377">
        <v>1.038083690213057</v>
      </c>
      <c r="N24" s="166">
        <v>0</v>
      </c>
      <c r="O24" s="397">
        <v>0</v>
      </c>
      <c r="P24" s="269">
        <v>2781</v>
      </c>
      <c r="Q24" s="15">
        <v>369</v>
      </c>
      <c r="R24" s="158">
        <v>0.13268608414239483</v>
      </c>
      <c r="S24" s="401">
        <v>0.94934963410971307</v>
      </c>
      <c r="T24" s="153">
        <v>370</v>
      </c>
      <c r="U24" s="197">
        <v>398281.99186240911</v>
      </c>
      <c r="V24" s="159">
        <v>0</v>
      </c>
      <c r="W24" s="159">
        <v>0</v>
      </c>
      <c r="X24" s="159">
        <v>602177.4</v>
      </c>
      <c r="Y24" s="159">
        <v>392840.73404438823</v>
      </c>
      <c r="Z24" s="159">
        <v>0</v>
      </c>
      <c r="AA24" s="155">
        <v>0</v>
      </c>
      <c r="AB24" s="159">
        <v>245988.47099020911</v>
      </c>
      <c r="AC24" s="159">
        <v>312494.60000000003</v>
      </c>
      <c r="AD24" s="174">
        <f>SUM(Muut[[#This Row],[Työttömyysaste]:[Työttömät ja palveluissa olevat ]])</f>
        <v>1951783.1968970066</v>
      </c>
      <c r="AF24" s="62"/>
    </row>
    <row r="25" spans="1:32" s="45" customFormat="1">
      <c r="A25" s="90">
        <v>52</v>
      </c>
      <c r="B25" s="151" t="s">
        <v>24</v>
      </c>
      <c r="C25" s="395">
        <v>2292</v>
      </c>
      <c r="D25" s="134">
        <v>45.083333333333336</v>
      </c>
      <c r="E25" s="41">
        <v>1005</v>
      </c>
      <c r="F25" s="332">
        <f t="shared" si="1"/>
        <v>4.4859038142620232E-2</v>
      </c>
      <c r="G25" s="377">
        <f>Muut[[#This Row],[Keskim. työttömyysaste 2023, %]]/$F$12</f>
        <v>0.45652550817418752</v>
      </c>
      <c r="H25" s="166">
        <v>0</v>
      </c>
      <c r="I25" s="383">
        <v>47</v>
      </c>
      <c r="J25" s="389">
        <v>98</v>
      </c>
      <c r="K25" s="269">
        <v>354.15</v>
      </c>
      <c r="L25" s="170">
        <f t="shared" si="2"/>
        <v>6.4718339686573492</v>
      </c>
      <c r="M25" s="377">
        <v>2.847483349859004</v>
      </c>
      <c r="N25" s="166">
        <v>0</v>
      </c>
      <c r="O25" s="397">
        <v>0</v>
      </c>
      <c r="P25" s="269">
        <v>637</v>
      </c>
      <c r="Q25" s="15">
        <v>84</v>
      </c>
      <c r="R25" s="158">
        <v>0.13186813186813187</v>
      </c>
      <c r="S25" s="401">
        <v>0.94349730455074132</v>
      </c>
      <c r="T25" s="153">
        <v>73</v>
      </c>
      <c r="U25" s="197">
        <v>72240.450325320824</v>
      </c>
      <c r="V25" s="159">
        <v>0</v>
      </c>
      <c r="W25" s="159">
        <v>0</v>
      </c>
      <c r="X25" s="159">
        <v>173568.78</v>
      </c>
      <c r="Y25" s="159">
        <v>270129.01376972231</v>
      </c>
      <c r="Z25" s="159">
        <v>0</v>
      </c>
      <c r="AA25" s="155">
        <v>0</v>
      </c>
      <c r="AB25" s="159">
        <v>61285.131596338681</v>
      </c>
      <c r="AC25" s="159">
        <v>61654.340000000004</v>
      </c>
      <c r="AD25" s="174">
        <f>SUM(Muut[[#This Row],[Työttömyysaste]:[Työttömät ja palveluissa olevat ]])</f>
        <v>638877.71569138183</v>
      </c>
      <c r="AF25" s="62"/>
    </row>
    <row r="26" spans="1:32" s="45" customFormat="1">
      <c r="A26" s="90">
        <v>61</v>
      </c>
      <c r="B26" s="151" t="s">
        <v>25</v>
      </c>
      <c r="C26" s="395">
        <v>16469</v>
      </c>
      <c r="D26" s="134">
        <v>812.5</v>
      </c>
      <c r="E26" s="41">
        <v>6973</v>
      </c>
      <c r="F26" s="332">
        <f t="shared" si="1"/>
        <v>0.11652086619819303</v>
      </c>
      <c r="G26" s="377">
        <f>Muut[[#This Row],[Keskim. työttömyysaste 2023, %]]/$F$12</f>
        <v>1.1858200678513136</v>
      </c>
      <c r="H26" s="166">
        <v>0</v>
      </c>
      <c r="I26" s="383">
        <v>51</v>
      </c>
      <c r="J26" s="389">
        <v>1302</v>
      </c>
      <c r="K26" s="269">
        <v>248.87</v>
      </c>
      <c r="L26" s="170">
        <f t="shared" si="2"/>
        <v>66.175111503998068</v>
      </c>
      <c r="M26" s="377">
        <v>0.27847991563550806</v>
      </c>
      <c r="N26" s="166">
        <v>0</v>
      </c>
      <c r="O26" s="397">
        <v>0</v>
      </c>
      <c r="P26" s="269">
        <v>4397</v>
      </c>
      <c r="Q26" s="15">
        <v>859</v>
      </c>
      <c r="R26" s="158">
        <v>0.19536047304980669</v>
      </c>
      <c r="S26" s="401">
        <v>1.3977757713483985</v>
      </c>
      <c r="T26" s="153">
        <v>1258</v>
      </c>
      <c r="U26" s="197">
        <v>1348300.8489514843</v>
      </c>
      <c r="V26" s="159">
        <v>0</v>
      </c>
      <c r="W26" s="159">
        <v>0</v>
      </c>
      <c r="X26" s="159">
        <v>2305985.2199999997</v>
      </c>
      <c r="Y26" s="159">
        <v>189826.36638958292</v>
      </c>
      <c r="Z26" s="159">
        <v>0</v>
      </c>
      <c r="AA26" s="155">
        <v>0</v>
      </c>
      <c r="AB26" s="159">
        <v>652385.92651406419</v>
      </c>
      <c r="AC26" s="159">
        <v>1062481.6400000001</v>
      </c>
      <c r="AD26" s="174">
        <f>SUM(Muut[[#This Row],[Työttömyysaste]:[Työttömät ja palveluissa olevat ]])</f>
        <v>5558980.0018551312</v>
      </c>
      <c r="AF26" s="62"/>
    </row>
    <row r="27" spans="1:32" s="45" customFormat="1">
      <c r="A27" s="90">
        <v>69</v>
      </c>
      <c r="B27" s="151" t="s">
        <v>26</v>
      </c>
      <c r="C27" s="395">
        <v>6558</v>
      </c>
      <c r="D27" s="134">
        <v>249.66666666666666</v>
      </c>
      <c r="E27" s="41">
        <v>2862</v>
      </c>
      <c r="F27" s="332">
        <f t="shared" si="1"/>
        <v>8.7235033775914281E-2</v>
      </c>
      <c r="G27" s="377">
        <f>Muut[[#This Row],[Keskim. työttömyysaste 2023, %]]/$F$12</f>
        <v>0.88778136522959084</v>
      </c>
      <c r="H27" s="166">
        <v>0</v>
      </c>
      <c r="I27" s="383">
        <v>4</v>
      </c>
      <c r="J27" s="389">
        <v>133</v>
      </c>
      <c r="K27" s="269">
        <v>766.48</v>
      </c>
      <c r="L27" s="170">
        <f t="shared" si="2"/>
        <v>8.5559962425634062</v>
      </c>
      <c r="M27" s="377">
        <v>2.1538625013797921</v>
      </c>
      <c r="N27" s="166">
        <v>0</v>
      </c>
      <c r="O27" s="397">
        <v>0</v>
      </c>
      <c r="P27" s="269">
        <v>1690</v>
      </c>
      <c r="Q27" s="15">
        <v>236</v>
      </c>
      <c r="R27" s="158">
        <v>0.13964497041420118</v>
      </c>
      <c r="S27" s="401">
        <v>0.99913945328065679</v>
      </c>
      <c r="T27" s="153">
        <v>344</v>
      </c>
      <c r="U27" s="197">
        <v>401955.7261368474</v>
      </c>
      <c r="V27" s="159">
        <v>0</v>
      </c>
      <c r="W27" s="159">
        <v>0</v>
      </c>
      <c r="X27" s="159">
        <v>235557.62999999998</v>
      </c>
      <c r="Y27" s="159">
        <v>584635.00345677475</v>
      </c>
      <c r="Z27" s="159">
        <v>0</v>
      </c>
      <c r="AA27" s="155">
        <v>0</v>
      </c>
      <c r="AB27" s="159">
        <v>185693.78419097626</v>
      </c>
      <c r="AC27" s="159">
        <v>290535.52</v>
      </c>
      <c r="AD27" s="174">
        <f>SUM(Muut[[#This Row],[Työttömyysaste]:[Työttömät ja palveluissa olevat ]])</f>
        <v>1698377.6637845985</v>
      </c>
      <c r="AF27" s="62"/>
    </row>
    <row r="28" spans="1:32" s="45" customFormat="1">
      <c r="A28" s="90">
        <v>71</v>
      </c>
      <c r="B28" s="151" t="s">
        <v>27</v>
      </c>
      <c r="C28" s="395">
        <v>6473</v>
      </c>
      <c r="D28" s="134">
        <v>233.08333333333334</v>
      </c>
      <c r="E28" s="41">
        <v>2741</v>
      </c>
      <c r="F28" s="332">
        <f t="shared" si="1"/>
        <v>8.503587498479874E-2</v>
      </c>
      <c r="G28" s="377">
        <f>Muut[[#This Row],[Keskim. työttömyysaste 2023, %]]/$F$12</f>
        <v>0.86540076755654605</v>
      </c>
      <c r="H28" s="166">
        <v>0</v>
      </c>
      <c r="I28" s="383">
        <v>1</v>
      </c>
      <c r="J28" s="389">
        <v>232</v>
      </c>
      <c r="K28" s="269">
        <v>1050.6300000000001</v>
      </c>
      <c r="L28" s="170">
        <f t="shared" si="2"/>
        <v>6.1610652656025424</v>
      </c>
      <c r="M28" s="377">
        <v>2.991112522649352</v>
      </c>
      <c r="N28" s="166">
        <v>0</v>
      </c>
      <c r="O28" s="397">
        <v>0</v>
      </c>
      <c r="P28" s="269">
        <v>1814</v>
      </c>
      <c r="Q28" s="15">
        <v>237</v>
      </c>
      <c r="R28" s="158">
        <v>0.13065049614112459</v>
      </c>
      <c r="S28" s="401">
        <v>0.93478529801754129</v>
      </c>
      <c r="T28" s="153">
        <v>316</v>
      </c>
      <c r="U28" s="197">
        <v>386744.07218588883</v>
      </c>
      <c r="V28" s="159">
        <v>0</v>
      </c>
      <c r="W28" s="159">
        <v>0</v>
      </c>
      <c r="X28" s="159">
        <v>410897.51999999996</v>
      </c>
      <c r="Y28" s="159">
        <v>801371.29955353204</v>
      </c>
      <c r="Z28" s="159">
        <v>0</v>
      </c>
      <c r="AA28" s="155">
        <v>0</v>
      </c>
      <c r="AB28" s="159">
        <v>171481.5207334742</v>
      </c>
      <c r="AC28" s="159">
        <v>266887.28000000003</v>
      </c>
      <c r="AD28" s="174">
        <f>SUM(Muut[[#This Row],[Työttömyysaste]:[Työttömät ja palveluissa olevat ]])</f>
        <v>2037381.6924728951</v>
      </c>
      <c r="AF28" s="62"/>
    </row>
    <row r="29" spans="1:32" s="45" customFormat="1">
      <c r="A29" s="90">
        <v>72</v>
      </c>
      <c r="B29" s="151" t="s">
        <v>28</v>
      </c>
      <c r="C29" s="395">
        <v>948</v>
      </c>
      <c r="D29" s="134">
        <v>36.916666666666664</v>
      </c>
      <c r="E29" s="41">
        <v>371</v>
      </c>
      <c r="F29" s="332">
        <f t="shared" si="1"/>
        <v>9.9505840071877807E-2</v>
      </c>
      <c r="G29" s="377">
        <f>Muut[[#This Row],[Keskim. työttömyysaste 2023, %]]/$F$12</f>
        <v>1.0126600142581668</v>
      </c>
      <c r="H29" s="166">
        <v>0</v>
      </c>
      <c r="I29" s="383">
        <v>0</v>
      </c>
      <c r="J29" s="389">
        <v>17</v>
      </c>
      <c r="K29" s="269">
        <v>205.58</v>
      </c>
      <c r="L29" s="170">
        <f t="shared" si="2"/>
        <v>4.6113435159062162</v>
      </c>
      <c r="M29" s="377">
        <v>3.9963276223593556</v>
      </c>
      <c r="N29" s="166">
        <v>2</v>
      </c>
      <c r="O29" s="397">
        <v>0</v>
      </c>
      <c r="P29" s="269">
        <v>217</v>
      </c>
      <c r="Q29" s="15">
        <v>17</v>
      </c>
      <c r="R29" s="158">
        <v>7.8341013824884786E-2</v>
      </c>
      <c r="S29" s="401">
        <v>0.56051855996159627</v>
      </c>
      <c r="T29" s="153">
        <v>50</v>
      </c>
      <c r="U29" s="197">
        <v>66278.516920395879</v>
      </c>
      <c r="V29" s="159">
        <v>0</v>
      </c>
      <c r="W29" s="159">
        <v>0</v>
      </c>
      <c r="X29" s="159">
        <v>30108.87</v>
      </c>
      <c r="Y29" s="159">
        <v>156806.78427440213</v>
      </c>
      <c r="Z29" s="159">
        <v>1147098.96</v>
      </c>
      <c r="AA29" s="155">
        <v>0</v>
      </c>
      <c r="AB29" s="159">
        <v>15059.070997867433</v>
      </c>
      <c r="AC29" s="159">
        <v>42229</v>
      </c>
      <c r="AD29" s="174">
        <f>SUM(Muut[[#This Row],[Työttömyysaste]:[Työttömät ja palveluissa olevat ]])</f>
        <v>1457581.2021926655</v>
      </c>
      <c r="AF29" s="62"/>
    </row>
    <row r="30" spans="1:32" s="45" customFormat="1">
      <c r="A30" s="90">
        <v>74</v>
      </c>
      <c r="B30" s="151" t="s">
        <v>29</v>
      </c>
      <c r="C30" s="395">
        <v>1013</v>
      </c>
      <c r="D30" s="134">
        <v>38.75</v>
      </c>
      <c r="E30" s="41">
        <v>429</v>
      </c>
      <c r="F30" s="332">
        <f t="shared" si="1"/>
        <v>9.0326340326340321E-2</v>
      </c>
      <c r="G30" s="377">
        <f>Muut[[#This Row],[Keskim. työttömyysaste 2023, %]]/$F$12</f>
        <v>0.91924125274141455</v>
      </c>
      <c r="H30" s="166">
        <v>0</v>
      </c>
      <c r="I30" s="383">
        <v>5</v>
      </c>
      <c r="J30" s="389">
        <v>51</v>
      </c>
      <c r="K30" s="269">
        <v>412.99</v>
      </c>
      <c r="L30" s="170">
        <f t="shared" si="2"/>
        <v>2.4528438945252913</v>
      </c>
      <c r="M30" s="377">
        <v>7.5130910327949145</v>
      </c>
      <c r="N30" s="166">
        <v>0</v>
      </c>
      <c r="O30" s="397">
        <v>0</v>
      </c>
      <c r="P30" s="269">
        <v>246</v>
      </c>
      <c r="Q30" s="15">
        <v>44</v>
      </c>
      <c r="R30" s="158">
        <v>0.17886178861788618</v>
      </c>
      <c r="S30" s="401">
        <v>1.2797300838147589</v>
      </c>
      <c r="T30" s="153">
        <v>53</v>
      </c>
      <c r="U30" s="197">
        <v>64289.453498427742</v>
      </c>
      <c r="V30" s="159">
        <v>0</v>
      </c>
      <c r="W30" s="159">
        <v>0</v>
      </c>
      <c r="X30" s="159">
        <v>90326.61</v>
      </c>
      <c r="Y30" s="159">
        <v>315009.40673939744</v>
      </c>
      <c r="Z30" s="159">
        <v>0</v>
      </c>
      <c r="AA30" s="155">
        <v>0</v>
      </c>
      <c r="AB30" s="159">
        <v>36739.028732789302</v>
      </c>
      <c r="AC30" s="159">
        <v>44762.740000000005</v>
      </c>
      <c r="AD30" s="174">
        <f>SUM(Muut[[#This Row],[Työttömyysaste]:[Työttömät ja palveluissa olevat ]])</f>
        <v>551127.2389706145</v>
      </c>
      <c r="AF30" s="62"/>
    </row>
    <row r="31" spans="1:32" s="45" customFormat="1">
      <c r="A31" s="90">
        <v>75</v>
      </c>
      <c r="B31" s="151" t="s">
        <v>30</v>
      </c>
      <c r="C31" s="395">
        <v>19534</v>
      </c>
      <c r="D31" s="134">
        <v>978.08333333333337</v>
      </c>
      <c r="E31" s="41">
        <v>8614</v>
      </c>
      <c r="F31" s="332">
        <f t="shared" si="1"/>
        <v>0.11354577819054253</v>
      </c>
      <c r="G31" s="377">
        <f>Muut[[#This Row],[Keskim. työttömyysaste 2023, %]]/$F$12</f>
        <v>1.1555429236950467</v>
      </c>
      <c r="H31" s="166">
        <v>0</v>
      </c>
      <c r="I31" s="383">
        <v>59</v>
      </c>
      <c r="J31" s="389">
        <v>1558</v>
      </c>
      <c r="K31" s="269">
        <v>609.89</v>
      </c>
      <c r="L31" s="170">
        <f t="shared" si="2"/>
        <v>32.028726491662432</v>
      </c>
      <c r="M31" s="377">
        <v>0.575372220109998</v>
      </c>
      <c r="N31" s="166">
        <v>0</v>
      </c>
      <c r="O31" s="397">
        <v>0</v>
      </c>
      <c r="P31" s="269">
        <v>5523</v>
      </c>
      <c r="Q31" s="15">
        <v>803</v>
      </c>
      <c r="R31" s="158">
        <v>0.14539199710302372</v>
      </c>
      <c r="S31" s="401">
        <v>1.0402585933888031</v>
      </c>
      <c r="T31" s="153">
        <v>1365</v>
      </c>
      <c r="U31" s="197">
        <v>1558396.8025495324</v>
      </c>
      <c r="V31" s="159">
        <v>0</v>
      </c>
      <c r="W31" s="159">
        <v>0</v>
      </c>
      <c r="X31" s="159">
        <v>2759389.38</v>
      </c>
      <c r="Y31" s="159">
        <v>465195.49402235192</v>
      </c>
      <c r="Z31" s="159">
        <v>0</v>
      </c>
      <c r="AA31" s="155">
        <v>0</v>
      </c>
      <c r="AB31" s="159">
        <v>575880.45803470002</v>
      </c>
      <c r="AC31" s="159">
        <v>1152851.7</v>
      </c>
      <c r="AD31" s="174">
        <f>SUM(Muut[[#This Row],[Työttömyysaste]:[Työttömät ja palveluissa olevat ]])</f>
        <v>6511713.8346065842</v>
      </c>
      <c r="AF31" s="62"/>
    </row>
    <row r="32" spans="1:32" s="45" customFormat="1">
      <c r="A32" s="90">
        <v>77</v>
      </c>
      <c r="B32" s="151" t="s">
        <v>31</v>
      </c>
      <c r="C32" s="395">
        <v>4549</v>
      </c>
      <c r="D32" s="134">
        <v>191.41666666666666</v>
      </c>
      <c r="E32" s="41">
        <v>1847</v>
      </c>
      <c r="F32" s="332">
        <f t="shared" si="1"/>
        <v>0.10363652770258075</v>
      </c>
      <c r="G32" s="377">
        <f>Muut[[#This Row],[Keskim. työttömyysaste 2023, %]]/$F$12</f>
        <v>1.054697568958294</v>
      </c>
      <c r="H32" s="166">
        <v>0</v>
      </c>
      <c r="I32" s="383">
        <v>12</v>
      </c>
      <c r="J32" s="389">
        <v>121</v>
      </c>
      <c r="K32" s="269">
        <v>571.69000000000005</v>
      </c>
      <c r="L32" s="170">
        <f t="shared" si="2"/>
        <v>7.9571096223477751</v>
      </c>
      <c r="M32" s="377">
        <v>2.3159715453770939</v>
      </c>
      <c r="N32" s="166">
        <v>0</v>
      </c>
      <c r="O32" s="397">
        <v>0</v>
      </c>
      <c r="P32" s="269">
        <v>1222</v>
      </c>
      <c r="Q32" s="15">
        <v>166</v>
      </c>
      <c r="R32" s="158">
        <v>0.13584288052373159</v>
      </c>
      <c r="S32" s="401">
        <v>0.97193605309216435</v>
      </c>
      <c r="T32" s="153">
        <v>275</v>
      </c>
      <c r="U32" s="197">
        <v>331241.44041184598</v>
      </c>
      <c r="V32" s="159">
        <v>0</v>
      </c>
      <c r="W32" s="159">
        <v>0</v>
      </c>
      <c r="X32" s="159">
        <v>214304.31</v>
      </c>
      <c r="Y32" s="159">
        <v>436058.32523510541</v>
      </c>
      <c r="Z32" s="159">
        <v>0</v>
      </c>
      <c r="AA32" s="155">
        <v>0</v>
      </c>
      <c r="AB32" s="159">
        <v>125300.6935703307</v>
      </c>
      <c r="AC32" s="159">
        <v>232259.5</v>
      </c>
      <c r="AD32" s="174">
        <f>SUM(Muut[[#This Row],[Työttömyysaste]:[Työttömät ja palveluissa olevat ]])</f>
        <v>1339164.2692172821</v>
      </c>
      <c r="AF32" s="62"/>
    </row>
    <row r="33" spans="1:32" s="45" customFormat="1">
      <c r="A33" s="90">
        <v>78</v>
      </c>
      <c r="B33" s="151" t="s">
        <v>32</v>
      </c>
      <c r="C33" s="395">
        <v>7721</v>
      </c>
      <c r="D33" s="134">
        <v>345.08333333333331</v>
      </c>
      <c r="E33" s="41">
        <v>3484</v>
      </c>
      <c r="F33" s="332">
        <f t="shared" si="1"/>
        <v>9.9048029085342507E-2</v>
      </c>
      <c r="G33" s="377">
        <f>Muut[[#This Row],[Keskim. työttömyysaste 2023, %]]/$F$12</f>
        <v>1.0080009220901343</v>
      </c>
      <c r="H33" s="166">
        <v>1</v>
      </c>
      <c r="I33" s="383">
        <v>3264</v>
      </c>
      <c r="J33" s="389">
        <v>410</v>
      </c>
      <c r="K33" s="269">
        <v>117.6</v>
      </c>
      <c r="L33" s="170">
        <f t="shared" si="2"/>
        <v>65.654761904761912</v>
      </c>
      <c r="M33" s="377">
        <v>0.28068702001441748</v>
      </c>
      <c r="N33" s="166">
        <v>0</v>
      </c>
      <c r="O33" s="397">
        <v>0</v>
      </c>
      <c r="P33" s="269">
        <v>2101</v>
      </c>
      <c r="Q33" s="15">
        <v>474</v>
      </c>
      <c r="R33" s="158">
        <v>0.2256068538791052</v>
      </c>
      <c r="S33" s="401">
        <v>1.6141842271335745</v>
      </c>
      <c r="T33" s="153">
        <v>477</v>
      </c>
      <c r="U33" s="197">
        <v>537322.79424737534</v>
      </c>
      <c r="V33" s="159">
        <v>158379.32880000002</v>
      </c>
      <c r="W33" s="159">
        <v>889528.78080000018</v>
      </c>
      <c r="X33" s="159">
        <v>726155.1</v>
      </c>
      <c r="Y33" s="159">
        <v>89699.765690581233</v>
      </c>
      <c r="Z33" s="159">
        <v>0</v>
      </c>
      <c r="AA33" s="155">
        <v>0</v>
      </c>
      <c r="AB33" s="159">
        <v>353204.71927757061</v>
      </c>
      <c r="AC33" s="159">
        <v>402864.66000000003</v>
      </c>
      <c r="AD33" s="174">
        <f>SUM(Muut[[#This Row],[Työttömyysaste]:[Työttömät ja palveluissa olevat ]])</f>
        <v>3157155.1488155276</v>
      </c>
      <c r="AF33" s="62"/>
    </row>
    <row r="34" spans="1:32" s="45" customFormat="1">
      <c r="A34" s="90">
        <v>79</v>
      </c>
      <c r="B34" s="151" t="s">
        <v>33</v>
      </c>
      <c r="C34" s="395">
        <v>6703</v>
      </c>
      <c r="D34" s="134">
        <v>274.58333333333331</v>
      </c>
      <c r="E34" s="41">
        <v>2791</v>
      </c>
      <c r="F34" s="332">
        <f t="shared" si="1"/>
        <v>9.8381703093275999E-2</v>
      </c>
      <c r="G34" s="377">
        <f>Muut[[#This Row],[Keskim. työttömyysaste 2023, %]]/$F$12</f>
        <v>1.0012197955940487</v>
      </c>
      <c r="H34" s="166">
        <v>0</v>
      </c>
      <c r="I34" s="383">
        <v>14</v>
      </c>
      <c r="J34" s="389">
        <v>330</v>
      </c>
      <c r="K34" s="269">
        <v>123.48</v>
      </c>
      <c r="L34" s="170">
        <f t="shared" si="2"/>
        <v>54.284094590217038</v>
      </c>
      <c r="M34" s="377">
        <v>0.33948138230760605</v>
      </c>
      <c r="N34" s="166">
        <v>0</v>
      </c>
      <c r="O34" s="397">
        <v>0</v>
      </c>
      <c r="P34" s="269">
        <v>1843</v>
      </c>
      <c r="Q34" s="15">
        <v>314</v>
      </c>
      <c r="R34" s="158">
        <v>0.17037438958220294</v>
      </c>
      <c r="S34" s="401">
        <v>1.2190039781259217</v>
      </c>
      <c r="T34" s="153">
        <v>420</v>
      </c>
      <c r="U34" s="197">
        <v>463339.61105241143</v>
      </c>
      <c r="V34" s="159">
        <v>0</v>
      </c>
      <c r="W34" s="159">
        <v>0</v>
      </c>
      <c r="X34" s="159">
        <v>584466.29999999993</v>
      </c>
      <c r="Y34" s="159">
        <v>94184.753975110303</v>
      </c>
      <c r="Z34" s="159">
        <v>0</v>
      </c>
      <c r="AA34" s="155">
        <v>0</v>
      </c>
      <c r="AB34" s="159">
        <v>231565.67707681403</v>
      </c>
      <c r="AC34" s="159">
        <v>354723.60000000003</v>
      </c>
      <c r="AD34" s="174">
        <f>SUM(Muut[[#This Row],[Työttömyysaste]:[Työttömät ja palveluissa olevat ]])</f>
        <v>1728279.9421043359</v>
      </c>
      <c r="AF34" s="62"/>
    </row>
    <row r="35" spans="1:32" s="45" customFormat="1">
      <c r="A35" s="90">
        <v>81</v>
      </c>
      <c r="B35" s="151" t="s">
        <v>34</v>
      </c>
      <c r="C35" s="395">
        <v>2531</v>
      </c>
      <c r="D35" s="134">
        <v>116.66666666666667</v>
      </c>
      <c r="E35" s="41">
        <v>1009</v>
      </c>
      <c r="F35" s="332">
        <f t="shared" si="1"/>
        <v>0.11562603237528907</v>
      </c>
      <c r="G35" s="377">
        <f>Muut[[#This Row],[Keskim. työttömyysaste 2023, %]]/$F$12</f>
        <v>1.1767134422381229</v>
      </c>
      <c r="H35" s="166">
        <v>0</v>
      </c>
      <c r="I35" s="383">
        <v>2</v>
      </c>
      <c r="J35" s="389">
        <v>86</v>
      </c>
      <c r="K35" s="269">
        <v>542.96</v>
      </c>
      <c r="L35" s="170">
        <f t="shared" si="2"/>
        <v>4.6614851922793576</v>
      </c>
      <c r="M35" s="377">
        <v>3.9533407720196236</v>
      </c>
      <c r="N35" s="166">
        <v>0</v>
      </c>
      <c r="O35" s="397">
        <v>0</v>
      </c>
      <c r="P35" s="269">
        <v>538</v>
      </c>
      <c r="Q35" s="15">
        <v>117</v>
      </c>
      <c r="R35" s="158">
        <v>0.21747211895910781</v>
      </c>
      <c r="S35" s="401">
        <v>1.5559813819008275</v>
      </c>
      <c r="T35" s="153">
        <v>166</v>
      </c>
      <c r="U35" s="197">
        <v>205619.18930791575</v>
      </c>
      <c r="V35" s="159">
        <v>0</v>
      </c>
      <c r="W35" s="159">
        <v>0</v>
      </c>
      <c r="X35" s="159">
        <v>152315.46</v>
      </c>
      <c r="Y35" s="159">
        <v>414144.42839590122</v>
      </c>
      <c r="Z35" s="159">
        <v>0</v>
      </c>
      <c r="AA35" s="155">
        <v>0</v>
      </c>
      <c r="AB35" s="159">
        <v>111608.27279092878</v>
      </c>
      <c r="AC35" s="159">
        <v>140200.28</v>
      </c>
      <c r="AD35" s="174">
        <f>SUM(Muut[[#This Row],[Työttömyysaste]:[Työttömät ja palveluissa olevat ]])</f>
        <v>1023887.6304947457</v>
      </c>
      <c r="AF35" s="62"/>
    </row>
    <row r="36" spans="1:32" s="45" customFormat="1">
      <c r="A36" s="90">
        <v>82</v>
      </c>
      <c r="B36" s="151" t="s">
        <v>35</v>
      </c>
      <c r="C36" s="395">
        <v>9371</v>
      </c>
      <c r="D36" s="134">
        <v>252.75</v>
      </c>
      <c r="E36" s="41">
        <v>4448</v>
      </c>
      <c r="F36" s="332">
        <f t="shared" si="1"/>
        <v>5.6823291366906475E-2</v>
      </c>
      <c r="G36" s="377">
        <f>Muut[[#This Row],[Keskim. työttömyysaste 2023, %]]/$F$12</f>
        <v>0.57828440023461591</v>
      </c>
      <c r="H36" s="166">
        <v>0</v>
      </c>
      <c r="I36" s="383">
        <v>38</v>
      </c>
      <c r="J36" s="389">
        <v>231</v>
      </c>
      <c r="K36" s="269">
        <v>357.79</v>
      </c>
      <c r="L36" s="170">
        <f t="shared" si="2"/>
        <v>26.191341289583274</v>
      </c>
      <c r="M36" s="377">
        <v>0.70360808425389854</v>
      </c>
      <c r="N36" s="166">
        <v>0</v>
      </c>
      <c r="O36" s="397">
        <v>0</v>
      </c>
      <c r="P36" s="269">
        <v>2945</v>
      </c>
      <c r="Q36" s="15">
        <v>267</v>
      </c>
      <c r="R36" s="158">
        <v>9.0662139219015281E-2</v>
      </c>
      <c r="S36" s="401">
        <v>0.64867442016608268</v>
      </c>
      <c r="T36" s="153">
        <v>384</v>
      </c>
      <c r="U36" s="197">
        <v>374134.8790318864</v>
      </c>
      <c r="V36" s="159">
        <v>0</v>
      </c>
      <c r="W36" s="159">
        <v>0</v>
      </c>
      <c r="X36" s="159">
        <v>409126.41</v>
      </c>
      <c r="Y36" s="159">
        <v>272905.43508871651</v>
      </c>
      <c r="Z36" s="159">
        <v>0</v>
      </c>
      <c r="AA36" s="155">
        <v>0</v>
      </c>
      <c r="AB36" s="159">
        <v>172271.15127560607</v>
      </c>
      <c r="AC36" s="159">
        <v>324318.72000000003</v>
      </c>
      <c r="AD36" s="174">
        <f>SUM(Muut[[#This Row],[Työttömyysaste]:[Työttömät ja palveluissa olevat ]])</f>
        <v>1552756.595396209</v>
      </c>
      <c r="AF36" s="62"/>
    </row>
    <row r="37" spans="1:32" s="45" customFormat="1">
      <c r="A37" s="90">
        <v>86</v>
      </c>
      <c r="B37" s="151" t="s">
        <v>36</v>
      </c>
      <c r="C37" s="395">
        <v>7998</v>
      </c>
      <c r="D37" s="134">
        <v>243.33333333333334</v>
      </c>
      <c r="E37" s="41">
        <v>3865</v>
      </c>
      <c r="F37" s="332">
        <f t="shared" si="1"/>
        <v>6.2958171625700735E-2</v>
      </c>
      <c r="G37" s="377">
        <f>Muut[[#This Row],[Keskim. työttömyysaste 2023, %]]/$F$12</f>
        <v>0.64071840336302655</v>
      </c>
      <c r="H37" s="166">
        <v>0</v>
      </c>
      <c r="I37" s="383">
        <v>33</v>
      </c>
      <c r="J37" s="389">
        <v>284</v>
      </c>
      <c r="K37" s="269">
        <v>389.42</v>
      </c>
      <c r="L37" s="170">
        <f t="shared" si="2"/>
        <v>20.538236351497098</v>
      </c>
      <c r="M37" s="377">
        <v>0.8972746809129214</v>
      </c>
      <c r="N37" s="166">
        <v>0</v>
      </c>
      <c r="O37" s="397">
        <v>0</v>
      </c>
      <c r="P37" s="269">
        <v>2547</v>
      </c>
      <c r="Q37" s="15">
        <v>340</v>
      </c>
      <c r="R37" s="158">
        <v>0.13349038084020415</v>
      </c>
      <c r="S37" s="401">
        <v>0.95510426000523274</v>
      </c>
      <c r="T37" s="153">
        <v>373</v>
      </c>
      <c r="U37" s="197">
        <v>353793.11814833048</v>
      </c>
      <c r="V37" s="159">
        <v>0</v>
      </c>
      <c r="W37" s="159">
        <v>0</v>
      </c>
      <c r="X37" s="159">
        <v>502995.24</v>
      </c>
      <c r="Y37" s="159">
        <v>297031.31594580057</v>
      </c>
      <c r="Z37" s="159">
        <v>0</v>
      </c>
      <c r="AA37" s="155">
        <v>0</v>
      </c>
      <c r="AB37" s="159">
        <v>216487.10251892928</v>
      </c>
      <c r="AC37" s="159">
        <v>315028.34000000003</v>
      </c>
      <c r="AD37" s="174">
        <f>SUM(Muut[[#This Row],[Työttömyysaste]:[Työttömät ja palveluissa olevat ]])</f>
        <v>1685335.1166130605</v>
      </c>
      <c r="AF37" s="62"/>
    </row>
    <row r="38" spans="1:32" s="45" customFormat="1">
      <c r="A38" s="90">
        <v>90</v>
      </c>
      <c r="B38" s="151" t="s">
        <v>37</v>
      </c>
      <c r="C38" s="395">
        <v>3001</v>
      </c>
      <c r="D38" s="134">
        <v>139.16666666666666</v>
      </c>
      <c r="E38" s="41">
        <v>1191</v>
      </c>
      <c r="F38" s="332">
        <f t="shared" si="1"/>
        <v>0.11684858662188637</v>
      </c>
      <c r="G38" s="377">
        <f>Muut[[#This Row],[Keskim. työttömyysaste 2023, %]]/$F$12</f>
        <v>1.1891552426379417</v>
      </c>
      <c r="H38" s="166">
        <v>0</v>
      </c>
      <c r="I38" s="383">
        <v>9</v>
      </c>
      <c r="J38" s="389">
        <v>129</v>
      </c>
      <c r="K38" s="269">
        <v>1030</v>
      </c>
      <c r="L38" s="170">
        <f t="shared" si="2"/>
        <v>2.9135922330097088</v>
      </c>
      <c r="M38" s="377">
        <v>6.3249892212155387</v>
      </c>
      <c r="N38" s="166">
        <v>0</v>
      </c>
      <c r="O38" s="397">
        <v>0</v>
      </c>
      <c r="P38" s="269">
        <v>665</v>
      </c>
      <c r="Q38" s="15">
        <v>135</v>
      </c>
      <c r="R38" s="158">
        <v>0.20300751879699247</v>
      </c>
      <c r="S38" s="401">
        <v>1.4524892714794306</v>
      </c>
      <c r="T38" s="153">
        <v>210</v>
      </c>
      <c r="U38" s="197">
        <v>246379.93313312222</v>
      </c>
      <c r="V38" s="159">
        <v>0</v>
      </c>
      <c r="W38" s="159">
        <v>0</v>
      </c>
      <c r="X38" s="159">
        <v>228473.18999999997</v>
      </c>
      <c r="Y38" s="159">
        <v>785635.70290219958</v>
      </c>
      <c r="Z38" s="159">
        <v>0</v>
      </c>
      <c r="AA38" s="155">
        <v>0</v>
      </c>
      <c r="AB38" s="159">
        <v>123531.80140713492</v>
      </c>
      <c r="AC38" s="159">
        <v>177361.80000000002</v>
      </c>
      <c r="AD38" s="174">
        <f>SUM(Muut[[#This Row],[Työttömyysaste]:[Työttömät ja palveluissa olevat ]])</f>
        <v>1561382.4274424566</v>
      </c>
      <c r="AF38" s="62"/>
    </row>
    <row r="39" spans="1:32" s="45" customFormat="1">
      <c r="A39" s="90">
        <v>91</v>
      </c>
      <c r="B39" s="151" t="s">
        <v>38</v>
      </c>
      <c r="C39" s="395">
        <v>674500</v>
      </c>
      <c r="D39" s="134">
        <v>37752.333333333336</v>
      </c>
      <c r="E39" s="41">
        <v>353085</v>
      </c>
      <c r="F39" s="332">
        <f t="shared" si="1"/>
        <v>0.10692137398454575</v>
      </c>
      <c r="G39" s="377">
        <f>Muut[[#This Row],[Keskim. työttömyysaste 2023, %]]/$F$12</f>
        <v>1.0881270890781956</v>
      </c>
      <c r="H39" s="166">
        <v>1</v>
      </c>
      <c r="I39" s="383">
        <v>36844</v>
      </c>
      <c r="J39" s="389">
        <v>131878</v>
      </c>
      <c r="K39" s="269">
        <v>214.51</v>
      </c>
      <c r="L39" s="170">
        <f t="shared" si="2"/>
        <v>3144.3755535872456</v>
      </c>
      <c r="M39" s="377">
        <v>5.8607628620505345E-3</v>
      </c>
      <c r="N39" s="166">
        <v>3</v>
      </c>
      <c r="O39" s="397">
        <v>985</v>
      </c>
      <c r="P39" s="269">
        <v>250771</v>
      </c>
      <c r="Q39" s="15">
        <v>42390</v>
      </c>
      <c r="R39" s="158">
        <v>0.16903868469639632</v>
      </c>
      <c r="S39" s="401">
        <v>1.2094472039335487</v>
      </c>
      <c r="T39" s="153">
        <v>50575</v>
      </c>
      <c r="U39" s="197">
        <v>50671336.458107099</v>
      </c>
      <c r="V39" s="159">
        <v>13835883.600000001</v>
      </c>
      <c r="W39" s="159">
        <v>10040992.156800002</v>
      </c>
      <c r="X39" s="159">
        <v>233570444.57999998</v>
      </c>
      <c r="Y39" s="159">
        <v>163618.16954325323</v>
      </c>
      <c r="Z39" s="159">
        <v>0</v>
      </c>
      <c r="AA39" s="155">
        <v>290614.40000000002</v>
      </c>
      <c r="AB39" s="159">
        <v>23118982.42076708</v>
      </c>
      <c r="AC39" s="159">
        <v>42714633.5</v>
      </c>
      <c r="AD39" s="174">
        <f>SUM(Muut[[#This Row],[Työttömyysaste]:[Työttömät ja palveluissa olevat ]])</f>
        <v>374406505.2852174</v>
      </c>
      <c r="AF39" s="62"/>
    </row>
    <row r="40" spans="1:32" s="45" customFormat="1">
      <c r="A40" s="90">
        <v>92</v>
      </c>
      <c r="B40" s="151" t="s">
        <v>39</v>
      </c>
      <c r="C40" s="395">
        <v>247443</v>
      </c>
      <c r="D40" s="134">
        <v>14072.75</v>
      </c>
      <c r="E40" s="41">
        <v>128380</v>
      </c>
      <c r="F40" s="332">
        <f t="shared" si="1"/>
        <v>0.10961793114192242</v>
      </c>
      <c r="G40" s="377">
        <f>Muut[[#This Row],[Keskim. työttömyysaste 2023, %]]/$F$12</f>
        <v>1.1155696553382715</v>
      </c>
      <c r="H40" s="166">
        <v>1</v>
      </c>
      <c r="I40" s="383">
        <v>5386</v>
      </c>
      <c r="J40" s="389">
        <v>66586</v>
      </c>
      <c r="K40" s="269">
        <v>238.38</v>
      </c>
      <c r="L40" s="170">
        <f t="shared" si="2"/>
        <v>1038.0191291215706</v>
      </c>
      <c r="M40" s="377">
        <v>1.7753468073752061E-2</v>
      </c>
      <c r="N40" s="166">
        <v>0</v>
      </c>
      <c r="O40" s="397">
        <v>0</v>
      </c>
      <c r="P40" s="269">
        <v>92708</v>
      </c>
      <c r="Q40" s="15">
        <v>22070</v>
      </c>
      <c r="R40" s="158">
        <v>0.23805928290978126</v>
      </c>
      <c r="S40" s="401">
        <v>1.7032795457606791</v>
      </c>
      <c r="T40" s="153">
        <v>19875</v>
      </c>
      <c r="U40" s="197">
        <v>19057794.849673923</v>
      </c>
      <c r="V40" s="159">
        <v>5075748.7704000007</v>
      </c>
      <c r="W40" s="159">
        <v>1467831.4992000002</v>
      </c>
      <c r="X40" s="159">
        <v>117931130.45999999</v>
      </c>
      <c r="Y40" s="159">
        <v>181825.08626973431</v>
      </c>
      <c r="Z40" s="159">
        <v>0</v>
      </c>
      <c r="AA40" s="155">
        <v>0</v>
      </c>
      <c r="AB40" s="159">
        <v>11944306.782184636</v>
      </c>
      <c r="AC40" s="159">
        <v>16786027.5</v>
      </c>
      <c r="AD40" s="174">
        <f>SUM(Muut[[#This Row],[Työttömyysaste]:[Työttömät ja palveluissa olevat ]])</f>
        <v>172444664.94772828</v>
      </c>
      <c r="AF40" s="62"/>
    </row>
    <row r="41" spans="1:32" s="45" customFormat="1">
      <c r="A41" s="90">
        <v>97</v>
      </c>
      <c r="B41" s="151" t="s">
        <v>40</v>
      </c>
      <c r="C41" s="395">
        <v>2062</v>
      </c>
      <c r="D41" s="134">
        <v>85.333333333333329</v>
      </c>
      <c r="E41" s="41">
        <v>847</v>
      </c>
      <c r="F41" s="332">
        <f t="shared" si="1"/>
        <v>0.10074773711137347</v>
      </c>
      <c r="G41" s="377">
        <f>Muut[[#This Row],[Keskim. työttömyysaste 2023, %]]/$F$12</f>
        <v>1.0252986641385597</v>
      </c>
      <c r="H41" s="166">
        <v>0</v>
      </c>
      <c r="I41" s="383">
        <v>10</v>
      </c>
      <c r="J41" s="389">
        <v>63</v>
      </c>
      <c r="K41" s="269">
        <v>465.11</v>
      </c>
      <c r="L41" s="170">
        <f t="shared" si="2"/>
        <v>4.4333598503579799</v>
      </c>
      <c r="M41" s="377">
        <v>4.1567659948279818</v>
      </c>
      <c r="N41" s="166">
        <v>3</v>
      </c>
      <c r="O41" s="397">
        <v>1618</v>
      </c>
      <c r="P41" s="269">
        <v>482</v>
      </c>
      <c r="Q41" s="15">
        <v>65</v>
      </c>
      <c r="R41" s="158">
        <v>0.13485477178423236</v>
      </c>
      <c r="S41" s="401">
        <v>0.96486627877206677</v>
      </c>
      <c r="T41" s="153">
        <v>123</v>
      </c>
      <c r="U41" s="197">
        <v>145962.00997012417</v>
      </c>
      <c r="V41" s="159">
        <v>0</v>
      </c>
      <c r="W41" s="159">
        <v>0</v>
      </c>
      <c r="X41" s="159">
        <v>111579.93</v>
      </c>
      <c r="Y41" s="159">
        <v>354764.09881246806</v>
      </c>
      <c r="Z41" s="159">
        <v>0</v>
      </c>
      <c r="AA41" s="155">
        <v>477374.72000000003</v>
      </c>
      <c r="AB41" s="159">
        <v>56383.967921905562</v>
      </c>
      <c r="AC41" s="159">
        <v>103883.34000000001</v>
      </c>
      <c r="AD41" s="174">
        <f>SUM(Muut[[#This Row],[Työttömyysaste]:[Työttömät ja palveluissa olevat ]])</f>
        <v>1249948.0667044977</v>
      </c>
      <c r="AF41" s="62"/>
    </row>
    <row r="42" spans="1:32" s="45" customFormat="1">
      <c r="A42" s="90">
        <v>98</v>
      </c>
      <c r="B42" s="151" t="s">
        <v>41</v>
      </c>
      <c r="C42" s="395">
        <v>22885</v>
      </c>
      <c r="D42" s="134">
        <v>740.08333333333337</v>
      </c>
      <c r="E42" s="41">
        <v>10482</v>
      </c>
      <c r="F42" s="332">
        <f t="shared" si="1"/>
        <v>7.0605164408827831E-2</v>
      </c>
      <c r="G42" s="377">
        <f>Muut[[#This Row],[Keskim. työttömyysaste 2023, %]]/$F$12</f>
        <v>0.71854100970653223</v>
      </c>
      <c r="H42" s="166">
        <v>0</v>
      </c>
      <c r="I42" s="383">
        <v>76</v>
      </c>
      <c r="J42" s="389">
        <v>732</v>
      </c>
      <c r="K42" s="269">
        <v>651.80999999999995</v>
      </c>
      <c r="L42" s="170">
        <f t="shared" si="2"/>
        <v>35.109924671299922</v>
      </c>
      <c r="M42" s="377">
        <v>0.52487835395066429</v>
      </c>
      <c r="N42" s="166">
        <v>0</v>
      </c>
      <c r="O42" s="397">
        <v>0</v>
      </c>
      <c r="P42" s="269">
        <v>6942</v>
      </c>
      <c r="Q42" s="15">
        <v>830</v>
      </c>
      <c r="R42" s="158">
        <v>0.11956208585422068</v>
      </c>
      <c r="S42" s="401">
        <v>0.85544933511857157</v>
      </c>
      <c r="T42" s="153">
        <v>1059</v>
      </c>
      <c r="U42" s="197">
        <v>1135280.7119325309</v>
      </c>
      <c r="V42" s="159">
        <v>0</v>
      </c>
      <c r="W42" s="159">
        <v>0</v>
      </c>
      <c r="X42" s="159">
        <v>1296452.52</v>
      </c>
      <c r="Y42" s="159">
        <v>497170.10437736183</v>
      </c>
      <c r="Z42" s="159">
        <v>0</v>
      </c>
      <c r="AA42" s="155">
        <v>0</v>
      </c>
      <c r="AB42" s="159">
        <v>554810.99068890244</v>
      </c>
      <c r="AC42" s="159">
        <v>894410.22000000009</v>
      </c>
      <c r="AD42" s="174">
        <f>SUM(Muut[[#This Row],[Työttömyysaste]:[Työttömät ja palveluissa olevat ]])</f>
        <v>4378124.5469987951</v>
      </c>
      <c r="AF42" s="62"/>
    </row>
    <row r="43" spans="1:32" s="45" customFormat="1">
      <c r="A43" s="90">
        <v>102</v>
      </c>
      <c r="B43" s="151" t="s">
        <v>42</v>
      </c>
      <c r="C43" s="395">
        <v>9646</v>
      </c>
      <c r="D43" s="134">
        <v>280.41666666666669</v>
      </c>
      <c r="E43" s="41">
        <v>4327</v>
      </c>
      <c r="F43" s="332">
        <f t="shared" si="1"/>
        <v>6.4806255296202139E-2</v>
      </c>
      <c r="G43" s="377">
        <f>Muut[[#This Row],[Keskim. työttömyysaste 2023, %]]/$F$12</f>
        <v>0.65952614806191434</v>
      </c>
      <c r="H43" s="166">
        <v>0</v>
      </c>
      <c r="I43" s="383">
        <v>17</v>
      </c>
      <c r="J43" s="389">
        <v>494</v>
      </c>
      <c r="K43" s="269">
        <v>532.65</v>
      </c>
      <c r="L43" s="170">
        <f t="shared" si="2"/>
        <v>18.10945273631841</v>
      </c>
      <c r="M43" s="377">
        <v>1.0176143772608646</v>
      </c>
      <c r="N43" s="166">
        <v>0</v>
      </c>
      <c r="O43" s="397">
        <v>0</v>
      </c>
      <c r="P43" s="269">
        <v>2662</v>
      </c>
      <c r="Q43" s="15">
        <v>378</v>
      </c>
      <c r="R43" s="158">
        <v>0.14199849737039819</v>
      </c>
      <c r="S43" s="401">
        <v>1.0159785963541321</v>
      </c>
      <c r="T43" s="153">
        <v>451</v>
      </c>
      <c r="U43" s="197">
        <v>439217.92803912883</v>
      </c>
      <c r="V43" s="159">
        <v>0</v>
      </c>
      <c r="W43" s="159">
        <v>0</v>
      </c>
      <c r="X43" s="159">
        <v>874928.34</v>
      </c>
      <c r="Y43" s="159">
        <v>406280.44383578299</v>
      </c>
      <c r="Z43" s="159">
        <v>0</v>
      </c>
      <c r="AA43" s="155">
        <v>0</v>
      </c>
      <c r="AB43" s="159">
        <v>277735.67117584171</v>
      </c>
      <c r="AC43" s="159">
        <v>380905.58</v>
      </c>
      <c r="AD43" s="174">
        <f>SUM(Muut[[#This Row],[Työttömyysaste]:[Työttömät ja palveluissa olevat ]])</f>
        <v>2379067.9630507533</v>
      </c>
      <c r="AF43" s="62"/>
    </row>
    <row r="44" spans="1:32" s="45" customFormat="1">
      <c r="A44" s="90">
        <v>103</v>
      </c>
      <c r="B44" s="151" t="s">
        <v>43</v>
      </c>
      <c r="C44" s="395">
        <v>2125</v>
      </c>
      <c r="D44" s="134">
        <v>87.416666666666671</v>
      </c>
      <c r="E44" s="41">
        <v>941</v>
      </c>
      <c r="F44" s="332">
        <f t="shared" si="1"/>
        <v>9.2897626638328026E-2</v>
      </c>
      <c r="G44" s="377">
        <f>Muut[[#This Row],[Keskim. työttömyysaste 2023, %]]/$F$12</f>
        <v>0.94540895135567105</v>
      </c>
      <c r="H44" s="166">
        <v>0</v>
      </c>
      <c r="I44" s="383">
        <v>4</v>
      </c>
      <c r="J44" s="389">
        <v>45</v>
      </c>
      <c r="K44" s="269">
        <v>147.96</v>
      </c>
      <c r="L44" s="170">
        <f t="shared" si="2"/>
        <v>14.36198972695323</v>
      </c>
      <c r="M44" s="377">
        <v>1.28313971943727</v>
      </c>
      <c r="N44" s="166">
        <v>0</v>
      </c>
      <c r="O44" s="397">
        <v>0</v>
      </c>
      <c r="P44" s="269">
        <v>556</v>
      </c>
      <c r="Q44" s="15">
        <v>80</v>
      </c>
      <c r="R44" s="158">
        <v>0.14388489208633093</v>
      </c>
      <c r="S44" s="401">
        <v>1.0294754761884586</v>
      </c>
      <c r="T44" s="153">
        <v>127</v>
      </c>
      <c r="U44" s="197">
        <v>138700.94725339051</v>
      </c>
      <c r="V44" s="159">
        <v>0</v>
      </c>
      <c r="W44" s="159">
        <v>0</v>
      </c>
      <c r="X44" s="159">
        <v>79699.95</v>
      </c>
      <c r="Y44" s="159">
        <v>112856.9500984558</v>
      </c>
      <c r="Z44" s="159">
        <v>0</v>
      </c>
      <c r="AA44" s="155">
        <v>0</v>
      </c>
      <c r="AB44" s="159">
        <v>61997.586864759454</v>
      </c>
      <c r="AC44" s="159">
        <v>107261.66</v>
      </c>
      <c r="AD44" s="174">
        <f>SUM(Muut[[#This Row],[Työttömyysaste]:[Työttömät ja palveluissa olevat ]])</f>
        <v>500517.09421660576</v>
      </c>
      <c r="AF44" s="62"/>
    </row>
    <row r="45" spans="1:32" s="45" customFormat="1">
      <c r="A45" s="90">
        <v>105</v>
      </c>
      <c r="B45" s="151" t="s">
        <v>44</v>
      </c>
      <c r="C45" s="395">
        <v>2063</v>
      </c>
      <c r="D45" s="134">
        <v>91.5</v>
      </c>
      <c r="E45" s="41">
        <v>765</v>
      </c>
      <c r="F45" s="332">
        <f t="shared" si="1"/>
        <v>0.11960784313725491</v>
      </c>
      <c r="G45" s="377">
        <f>Muut[[#This Row],[Keskim. työttömyysaste 2023, %]]/$F$12</f>
        <v>1.2172358933834324</v>
      </c>
      <c r="H45" s="166">
        <v>0</v>
      </c>
      <c r="I45" s="383">
        <v>4</v>
      </c>
      <c r="J45" s="389">
        <v>43</v>
      </c>
      <c r="K45" s="269">
        <v>1421.27</v>
      </c>
      <c r="L45" s="170">
        <f t="shared" si="2"/>
        <v>1.451518712137736</v>
      </c>
      <c r="M45" s="377">
        <v>12.695970995553399</v>
      </c>
      <c r="N45" s="166">
        <v>0</v>
      </c>
      <c r="O45" s="397">
        <v>0</v>
      </c>
      <c r="P45" s="269">
        <v>397</v>
      </c>
      <c r="Q45" s="15">
        <v>54</v>
      </c>
      <c r="R45" s="158">
        <v>0.13602015113350127</v>
      </c>
      <c r="S45" s="401">
        <v>0.9732043985227421</v>
      </c>
      <c r="T45" s="153">
        <v>124</v>
      </c>
      <c r="U45" s="197">
        <v>173370.32402137347</v>
      </c>
      <c r="V45" s="159">
        <v>0</v>
      </c>
      <c r="W45" s="159">
        <v>0</v>
      </c>
      <c r="X45" s="159">
        <v>76157.73</v>
      </c>
      <c r="Y45" s="159">
        <v>1084078.1121007856</v>
      </c>
      <c r="Z45" s="159">
        <v>0</v>
      </c>
      <c r="AA45" s="155">
        <v>0</v>
      </c>
      <c r="AB45" s="159">
        <v>56898.803905479494</v>
      </c>
      <c r="AC45" s="159">
        <v>104727.92</v>
      </c>
      <c r="AD45" s="174">
        <f>SUM(Muut[[#This Row],[Työttömyysaste]:[Työttömät ja palveluissa olevat ]])</f>
        <v>1495232.8900276385</v>
      </c>
      <c r="AF45" s="62"/>
    </row>
    <row r="46" spans="1:32" s="45" customFormat="1">
      <c r="A46" s="90">
        <v>106</v>
      </c>
      <c r="B46" s="151" t="s">
        <v>45</v>
      </c>
      <c r="C46" s="395">
        <v>46901</v>
      </c>
      <c r="D46" s="134">
        <v>2260.3333333333335</v>
      </c>
      <c r="E46" s="41">
        <v>23028</v>
      </c>
      <c r="F46" s="332">
        <f t="shared" si="1"/>
        <v>9.8155868218400791E-2</v>
      </c>
      <c r="G46" s="377">
        <f>Muut[[#This Row],[Keskim. työttömyysaste 2023, %]]/$F$12</f>
        <v>0.99892149885643089</v>
      </c>
      <c r="H46" s="166">
        <v>0</v>
      </c>
      <c r="I46" s="383">
        <v>438</v>
      </c>
      <c r="J46" s="389">
        <v>3681</v>
      </c>
      <c r="K46" s="269">
        <v>322.69</v>
      </c>
      <c r="L46" s="170">
        <f t="shared" si="2"/>
        <v>145.3438284421581</v>
      </c>
      <c r="M46" s="377">
        <v>0.12679203283913504</v>
      </c>
      <c r="N46" s="166">
        <v>0</v>
      </c>
      <c r="O46" s="397">
        <v>0</v>
      </c>
      <c r="P46" s="269">
        <v>14912</v>
      </c>
      <c r="Q46" s="15">
        <v>2219</v>
      </c>
      <c r="R46" s="158">
        <v>0.14880633047210301</v>
      </c>
      <c r="S46" s="401">
        <v>1.0646876520622466</v>
      </c>
      <c r="T46" s="153">
        <v>3254</v>
      </c>
      <c r="U46" s="197">
        <v>3234552.8047214323</v>
      </c>
      <c r="V46" s="159">
        <v>0</v>
      </c>
      <c r="W46" s="159">
        <v>0</v>
      </c>
      <c r="X46" s="159">
        <v>6519455.9099999992</v>
      </c>
      <c r="Y46" s="159">
        <v>246132.80094127261</v>
      </c>
      <c r="Z46" s="159">
        <v>0</v>
      </c>
      <c r="AA46" s="155">
        <v>0</v>
      </c>
      <c r="AB46" s="159">
        <v>1415155.5072359862</v>
      </c>
      <c r="AC46" s="159">
        <v>2748263.3200000003</v>
      </c>
      <c r="AD46" s="174">
        <f>SUM(Muut[[#This Row],[Työttömyysaste]:[Työttömät ja palveluissa olevat ]])</f>
        <v>14163560.342898689</v>
      </c>
      <c r="AF46" s="62"/>
    </row>
    <row r="47" spans="1:32" s="45" customFormat="1">
      <c r="A47" s="90">
        <v>108</v>
      </c>
      <c r="B47" s="151" t="s">
        <v>46</v>
      </c>
      <c r="C47" s="395">
        <v>10319</v>
      </c>
      <c r="D47" s="134">
        <v>393.5</v>
      </c>
      <c r="E47" s="41">
        <v>4640</v>
      </c>
      <c r="F47" s="332">
        <f t="shared" si="1"/>
        <v>8.4806034482758627E-2</v>
      </c>
      <c r="G47" s="377">
        <f>Muut[[#This Row],[Keskim. työttömyysaste 2023, %]]/$F$12</f>
        <v>0.86306170599086396</v>
      </c>
      <c r="H47" s="166">
        <v>0</v>
      </c>
      <c r="I47" s="383">
        <v>21</v>
      </c>
      <c r="J47" s="389">
        <v>214</v>
      </c>
      <c r="K47" s="269">
        <v>463.99</v>
      </c>
      <c r="L47" s="170">
        <f t="shared" si="2"/>
        <v>22.239703441884522</v>
      </c>
      <c r="M47" s="377">
        <v>0.82862793188586481</v>
      </c>
      <c r="N47" s="166">
        <v>0</v>
      </c>
      <c r="O47" s="397">
        <v>0</v>
      </c>
      <c r="P47" s="269">
        <v>3177</v>
      </c>
      <c r="Q47" s="15">
        <v>360</v>
      </c>
      <c r="R47" s="158">
        <v>0.11331444759206799</v>
      </c>
      <c r="S47" s="401">
        <v>0.81074839201244064</v>
      </c>
      <c r="T47" s="153">
        <v>578</v>
      </c>
      <c r="U47" s="197">
        <v>614865.66569402581</v>
      </c>
      <c r="V47" s="159">
        <v>0</v>
      </c>
      <c r="W47" s="159">
        <v>0</v>
      </c>
      <c r="X47" s="159">
        <v>379017.54</v>
      </c>
      <c r="Y47" s="159">
        <v>353909.81532970059</v>
      </c>
      <c r="Z47" s="159">
        <v>0</v>
      </c>
      <c r="AA47" s="155">
        <v>0</v>
      </c>
      <c r="AB47" s="159">
        <v>237095.63270437845</v>
      </c>
      <c r="AC47" s="159">
        <v>488167.24000000005</v>
      </c>
      <c r="AD47" s="174">
        <f>SUM(Muut[[#This Row],[Työttömyysaste]:[Työttömät ja palveluissa olevat ]])</f>
        <v>2073055.8937281051</v>
      </c>
      <c r="AF47" s="62"/>
    </row>
    <row r="48" spans="1:32" s="45" customFormat="1">
      <c r="A48" s="90">
        <v>109</v>
      </c>
      <c r="B48" s="151" t="s">
        <v>47</v>
      </c>
      <c r="C48" s="395">
        <v>68319</v>
      </c>
      <c r="D48" s="134">
        <v>3215.0833333333335</v>
      </c>
      <c r="E48" s="41">
        <v>31383</v>
      </c>
      <c r="F48" s="332">
        <f t="shared" si="1"/>
        <v>0.10244665370848337</v>
      </c>
      <c r="G48" s="377">
        <f>Muut[[#This Row],[Keskim. työttömyysaste 2023, %]]/$F$12</f>
        <v>1.0425883519017103</v>
      </c>
      <c r="H48" s="166">
        <v>0</v>
      </c>
      <c r="I48" s="383">
        <v>256</v>
      </c>
      <c r="J48" s="389">
        <v>4660</v>
      </c>
      <c r="K48" s="269">
        <v>1785.56</v>
      </c>
      <c r="L48" s="170">
        <f t="shared" si="2"/>
        <v>38.261945832119899</v>
      </c>
      <c r="M48" s="377">
        <v>0.48163884684959041</v>
      </c>
      <c r="N48" s="166">
        <v>0</v>
      </c>
      <c r="O48" s="397">
        <v>0</v>
      </c>
      <c r="P48" s="269">
        <v>20246</v>
      </c>
      <c r="Q48" s="15">
        <v>2604</v>
      </c>
      <c r="R48" s="158">
        <v>0.12861799861701076</v>
      </c>
      <c r="S48" s="401">
        <v>0.92024307383994308</v>
      </c>
      <c r="T48" s="153">
        <v>4519</v>
      </c>
      <c r="U48" s="197">
        <v>4917622.1030810764</v>
      </c>
      <c r="V48" s="159">
        <v>0</v>
      </c>
      <c r="W48" s="159">
        <v>0</v>
      </c>
      <c r="X48" s="159">
        <v>8253372.5999999996</v>
      </c>
      <c r="Y48" s="159">
        <v>1361941.4424019917</v>
      </c>
      <c r="Z48" s="159">
        <v>0</v>
      </c>
      <c r="AA48" s="155">
        <v>0</v>
      </c>
      <c r="AB48" s="159">
        <v>1781738.2531577582</v>
      </c>
      <c r="AC48" s="159">
        <v>3816657.02</v>
      </c>
      <c r="AD48" s="174">
        <f>SUM(Muut[[#This Row],[Työttömyysaste]:[Työttömät ja palveluissa olevat ]])</f>
        <v>20131331.418640826</v>
      </c>
      <c r="AF48" s="62"/>
    </row>
    <row r="49" spans="1:32" s="45" customFormat="1">
      <c r="A49" s="90">
        <v>111</v>
      </c>
      <c r="B49" s="151" t="s">
        <v>48</v>
      </c>
      <c r="C49" s="395">
        <v>17953</v>
      </c>
      <c r="D49" s="134">
        <v>979.58333333333337</v>
      </c>
      <c r="E49" s="41">
        <v>7448</v>
      </c>
      <c r="F49" s="332">
        <f t="shared" si="1"/>
        <v>0.13152300393841748</v>
      </c>
      <c r="G49" s="377">
        <f>Muut[[#This Row],[Keskim. työttömyysaste 2023, %]]/$F$12</f>
        <v>1.3384951772413223</v>
      </c>
      <c r="H49" s="166">
        <v>0</v>
      </c>
      <c r="I49" s="383">
        <v>40</v>
      </c>
      <c r="J49" s="389">
        <v>903</v>
      </c>
      <c r="K49" s="269">
        <v>675.97</v>
      </c>
      <c r="L49" s="170">
        <f t="shared" si="2"/>
        <v>26.558870955811649</v>
      </c>
      <c r="M49" s="377">
        <v>0.6938713433814544</v>
      </c>
      <c r="N49" s="166">
        <v>0</v>
      </c>
      <c r="O49" s="397">
        <v>0</v>
      </c>
      <c r="P49" s="269">
        <v>4392</v>
      </c>
      <c r="Q49" s="15">
        <v>853</v>
      </c>
      <c r="R49" s="158">
        <v>0.19421675774134792</v>
      </c>
      <c r="S49" s="401">
        <v>1.389592654658891</v>
      </c>
      <c r="T49" s="153">
        <v>1289</v>
      </c>
      <c r="U49" s="197">
        <v>1659031.4704306093</v>
      </c>
      <c r="V49" s="159">
        <v>0</v>
      </c>
      <c r="W49" s="159">
        <v>0</v>
      </c>
      <c r="X49" s="159">
        <v>1599312.3299999998</v>
      </c>
      <c r="Y49" s="159">
        <v>515598.2195056309</v>
      </c>
      <c r="Z49" s="159">
        <v>0</v>
      </c>
      <c r="AA49" s="155">
        <v>0</v>
      </c>
      <c r="AB49" s="159">
        <v>707008.09537044098</v>
      </c>
      <c r="AC49" s="159">
        <v>1088663.6200000001</v>
      </c>
      <c r="AD49" s="174">
        <f>SUM(Muut[[#This Row],[Työttömyysaste]:[Työttömät ja palveluissa olevat ]])</f>
        <v>5569613.7353066811</v>
      </c>
      <c r="AF49" s="62"/>
    </row>
    <row r="50" spans="1:32" s="45" customFormat="1">
      <c r="A50" s="90">
        <v>139</v>
      </c>
      <c r="B50" s="151" t="s">
        <v>49</v>
      </c>
      <c r="C50" s="395">
        <v>9766</v>
      </c>
      <c r="D50" s="134">
        <v>489.75</v>
      </c>
      <c r="E50" s="41">
        <v>4207</v>
      </c>
      <c r="F50" s="332">
        <f t="shared" si="1"/>
        <v>0.11641312098882814</v>
      </c>
      <c r="G50" s="377">
        <f>Muut[[#This Row],[Keskim. työttömyysaste 2023, %]]/$F$12</f>
        <v>1.1847235566799803</v>
      </c>
      <c r="H50" s="166">
        <v>0</v>
      </c>
      <c r="I50" s="383">
        <v>16</v>
      </c>
      <c r="J50" s="389">
        <v>88</v>
      </c>
      <c r="K50" s="269">
        <v>1615.71</v>
      </c>
      <c r="L50" s="170">
        <f t="shared" si="2"/>
        <v>6.0444015324532252</v>
      </c>
      <c r="M50" s="377">
        <v>3.0488443512329364</v>
      </c>
      <c r="N50" s="166">
        <v>0</v>
      </c>
      <c r="O50" s="397">
        <v>0</v>
      </c>
      <c r="P50" s="269">
        <v>2735</v>
      </c>
      <c r="Q50" s="15">
        <v>265</v>
      </c>
      <c r="R50" s="158">
        <v>9.6892138939670927E-2</v>
      </c>
      <c r="S50" s="401">
        <v>0.69324916207316045</v>
      </c>
      <c r="T50" s="153">
        <v>657</v>
      </c>
      <c r="U50" s="197">
        <v>798793.50797321298</v>
      </c>
      <c r="V50" s="159">
        <v>0</v>
      </c>
      <c r="W50" s="159">
        <v>0</v>
      </c>
      <c r="X50" s="159">
        <v>155857.68</v>
      </c>
      <c r="Y50" s="159">
        <v>1232387.8267340902</v>
      </c>
      <c r="Z50" s="159">
        <v>0</v>
      </c>
      <c r="AA50" s="155">
        <v>0</v>
      </c>
      <c r="AB50" s="159">
        <v>191869.48911829578</v>
      </c>
      <c r="AC50" s="159">
        <v>554889.06000000006</v>
      </c>
      <c r="AD50" s="174">
        <f>SUM(Muut[[#This Row],[Työttömyysaste]:[Työttömät ja palveluissa olevat ]])</f>
        <v>2933797.5638255989</v>
      </c>
      <c r="AF50" s="62"/>
    </row>
    <row r="51" spans="1:32" s="45" customFormat="1">
      <c r="A51" s="90">
        <v>140</v>
      </c>
      <c r="B51" s="151" t="s">
        <v>50</v>
      </c>
      <c r="C51" s="395">
        <v>20618</v>
      </c>
      <c r="D51" s="134">
        <v>1123.0833333333333</v>
      </c>
      <c r="E51" s="41">
        <v>9329</v>
      </c>
      <c r="F51" s="332">
        <f t="shared" si="1"/>
        <v>0.12038625075928108</v>
      </c>
      <c r="G51" s="377">
        <f>Muut[[#This Row],[Keskim. työttömyysaste 2023, %]]/$F$12</f>
        <v>1.2251576623273486</v>
      </c>
      <c r="H51" s="166">
        <v>0</v>
      </c>
      <c r="I51" s="383">
        <v>8</v>
      </c>
      <c r="J51" s="389">
        <v>851</v>
      </c>
      <c r="K51" s="269">
        <v>763</v>
      </c>
      <c r="L51" s="170">
        <f t="shared" si="2"/>
        <v>27.022280471821755</v>
      </c>
      <c r="M51" s="377">
        <v>0.6819720300076263</v>
      </c>
      <c r="N51" s="166">
        <v>0</v>
      </c>
      <c r="O51" s="397">
        <v>0</v>
      </c>
      <c r="P51" s="269">
        <v>5720</v>
      </c>
      <c r="Q51" s="15">
        <v>685</v>
      </c>
      <c r="R51" s="158">
        <v>0.11975524475524475</v>
      </c>
      <c r="S51" s="401">
        <v>0.85683135896227358</v>
      </c>
      <c r="T51" s="153">
        <v>1525</v>
      </c>
      <c r="U51" s="197">
        <v>1743971.1590759787</v>
      </c>
      <c r="V51" s="159">
        <v>0</v>
      </c>
      <c r="W51" s="159">
        <v>0</v>
      </c>
      <c r="X51" s="159">
        <v>1507214.6099999999</v>
      </c>
      <c r="Y51" s="159">
        <v>581980.62263531878</v>
      </c>
      <c r="Z51" s="159">
        <v>0</v>
      </c>
      <c r="AA51" s="155">
        <v>0</v>
      </c>
      <c r="AB51" s="159">
        <v>500658.66150044498</v>
      </c>
      <c r="AC51" s="159">
        <v>1287984.5</v>
      </c>
      <c r="AD51" s="174">
        <f>SUM(Muut[[#This Row],[Työttömyysaste]:[Työttömät ja palveluissa olevat ]])</f>
        <v>5621809.5532117421</v>
      </c>
      <c r="AF51" s="62"/>
    </row>
    <row r="52" spans="1:32" s="45" customFormat="1">
      <c r="A52" s="90">
        <v>142</v>
      </c>
      <c r="B52" s="151" t="s">
        <v>51</v>
      </c>
      <c r="C52" s="395">
        <v>6444</v>
      </c>
      <c r="D52" s="134">
        <v>243.91666666666666</v>
      </c>
      <c r="E52" s="41">
        <v>2782</v>
      </c>
      <c r="F52" s="332">
        <f t="shared" si="1"/>
        <v>8.7676731368320146E-2</v>
      </c>
      <c r="G52" s="377">
        <f>Muut[[#This Row],[Keskim. työttömyysaste 2023, %]]/$F$12</f>
        <v>0.8922764731539139</v>
      </c>
      <c r="H52" s="166">
        <v>0</v>
      </c>
      <c r="I52" s="383">
        <v>14</v>
      </c>
      <c r="J52" s="389">
        <v>157</v>
      </c>
      <c r="K52" s="269">
        <v>589.87</v>
      </c>
      <c r="L52" s="170">
        <f t="shared" si="2"/>
        <v>10.924440978520691</v>
      </c>
      <c r="M52" s="377">
        <v>1.6868999983648745</v>
      </c>
      <c r="N52" s="166">
        <v>0</v>
      </c>
      <c r="O52" s="397">
        <v>0</v>
      </c>
      <c r="P52" s="269">
        <v>1655</v>
      </c>
      <c r="Q52" s="15">
        <v>230</v>
      </c>
      <c r="R52" s="158">
        <v>0.13897280966767372</v>
      </c>
      <c r="S52" s="401">
        <v>0.9943302408986413</v>
      </c>
      <c r="T52" s="153">
        <v>357</v>
      </c>
      <c r="U52" s="197">
        <v>396968.23510098387</v>
      </c>
      <c r="V52" s="159">
        <v>0</v>
      </c>
      <c r="W52" s="159">
        <v>0</v>
      </c>
      <c r="X52" s="159">
        <v>278064.26999999996</v>
      </c>
      <c r="Y52" s="159">
        <v>449925.17676788394</v>
      </c>
      <c r="Z52" s="159">
        <v>0</v>
      </c>
      <c r="AA52" s="155">
        <v>0</v>
      </c>
      <c r="AB52" s="159">
        <v>181587.53181042292</v>
      </c>
      <c r="AC52" s="159">
        <v>301515.06</v>
      </c>
      <c r="AD52" s="174">
        <f>SUM(Muut[[#This Row],[Työttömyysaste]:[Työttömät ja palveluissa olevat ]])</f>
        <v>1608060.2736792909</v>
      </c>
      <c r="AF52" s="62"/>
    </row>
    <row r="53" spans="1:32" s="45" customFormat="1">
      <c r="A53" s="90">
        <v>143</v>
      </c>
      <c r="B53" s="151" t="s">
        <v>52</v>
      </c>
      <c r="C53" s="395">
        <v>6850</v>
      </c>
      <c r="D53" s="134">
        <v>252.16666666666666</v>
      </c>
      <c r="E53" s="41">
        <v>2743</v>
      </c>
      <c r="F53" s="332">
        <f t="shared" si="1"/>
        <v>9.1930975817231739E-2</v>
      </c>
      <c r="G53" s="377">
        <f>Muut[[#This Row],[Keskim. työttömyysaste 2023, %]]/$F$12</f>
        <v>0.93557145203335046</v>
      </c>
      <c r="H53" s="166">
        <v>0</v>
      </c>
      <c r="I53" s="383">
        <v>12</v>
      </c>
      <c r="J53" s="389">
        <v>321</v>
      </c>
      <c r="K53" s="269">
        <v>750.48</v>
      </c>
      <c r="L53" s="170">
        <f t="shared" si="2"/>
        <v>9.1274917386206162</v>
      </c>
      <c r="M53" s="377">
        <v>2.0190036865033307</v>
      </c>
      <c r="N53" s="166">
        <v>0</v>
      </c>
      <c r="O53" s="397">
        <v>0</v>
      </c>
      <c r="P53" s="269">
        <v>1789</v>
      </c>
      <c r="Q53" s="15">
        <v>265</v>
      </c>
      <c r="R53" s="158">
        <v>0.14812744550027948</v>
      </c>
      <c r="S53" s="401">
        <v>1.0598303288262123</v>
      </c>
      <c r="T53" s="153">
        <v>397</v>
      </c>
      <c r="U53" s="197">
        <v>442454.19338142028</v>
      </c>
      <c r="V53" s="159">
        <v>0</v>
      </c>
      <c r="W53" s="159">
        <v>0</v>
      </c>
      <c r="X53" s="159">
        <v>568526.30999999994</v>
      </c>
      <c r="Y53" s="159">
        <v>572430.95370295411</v>
      </c>
      <c r="Z53" s="159">
        <v>0</v>
      </c>
      <c r="AA53" s="155">
        <v>0</v>
      </c>
      <c r="AB53" s="159">
        <v>205743.80190470378</v>
      </c>
      <c r="AC53" s="159">
        <v>335298.26</v>
      </c>
      <c r="AD53" s="174">
        <f>SUM(Muut[[#This Row],[Työttömyysaste]:[Työttömät ja palveluissa olevat ]])</f>
        <v>2124453.5189890778</v>
      </c>
      <c r="AF53" s="62"/>
    </row>
    <row r="54" spans="1:32" s="45" customFormat="1">
      <c r="A54" s="90">
        <v>145</v>
      </c>
      <c r="B54" s="151" t="s">
        <v>53</v>
      </c>
      <c r="C54" s="395">
        <v>12343</v>
      </c>
      <c r="D54" s="134">
        <v>307.58333333333331</v>
      </c>
      <c r="E54" s="41">
        <v>5706</v>
      </c>
      <c r="F54" s="332">
        <f t="shared" si="1"/>
        <v>5.390524593994625E-2</v>
      </c>
      <c r="G54" s="377">
        <f>Muut[[#This Row],[Keskim. työttömyysaste 2023, %]]/$F$12</f>
        <v>0.54858777216196219</v>
      </c>
      <c r="H54" s="166">
        <v>0</v>
      </c>
      <c r="I54" s="383">
        <v>26</v>
      </c>
      <c r="J54" s="389">
        <v>202</v>
      </c>
      <c r="K54" s="269">
        <v>576.74</v>
      </c>
      <c r="L54" s="170">
        <f t="shared" si="2"/>
        <v>21.40132468703402</v>
      </c>
      <c r="M54" s="377">
        <v>0.86108872877241005</v>
      </c>
      <c r="N54" s="166">
        <v>0</v>
      </c>
      <c r="O54" s="397">
        <v>0</v>
      </c>
      <c r="P54" s="269">
        <v>3810</v>
      </c>
      <c r="Q54" s="15">
        <v>304</v>
      </c>
      <c r="R54" s="158">
        <v>7.9790026246719159E-2</v>
      </c>
      <c r="S54" s="401">
        <v>0.57088603309474428</v>
      </c>
      <c r="T54" s="153">
        <v>468</v>
      </c>
      <c r="U54" s="197">
        <v>467484.95090873371</v>
      </c>
      <c r="V54" s="159">
        <v>0</v>
      </c>
      <c r="W54" s="159">
        <v>0</v>
      </c>
      <c r="X54" s="159">
        <v>357764.22</v>
      </c>
      <c r="Y54" s="159">
        <v>439910.22843865491</v>
      </c>
      <c r="Z54" s="159">
        <v>0</v>
      </c>
      <c r="AA54" s="155">
        <v>0</v>
      </c>
      <c r="AB54" s="159">
        <v>199696.28832588205</v>
      </c>
      <c r="AC54" s="159">
        <v>395263.44</v>
      </c>
      <c r="AD54" s="174">
        <f>SUM(Muut[[#This Row],[Työttömyysaste]:[Työttömät ja palveluissa olevat ]])</f>
        <v>1860119.1276732706</v>
      </c>
      <c r="AF54" s="62"/>
    </row>
    <row r="55" spans="1:32" s="45" customFormat="1">
      <c r="A55" s="90">
        <v>146</v>
      </c>
      <c r="B55" s="151" t="s">
        <v>54</v>
      </c>
      <c r="C55" s="395">
        <v>4406</v>
      </c>
      <c r="D55" s="134">
        <v>240.16666666666666</v>
      </c>
      <c r="E55" s="41">
        <v>1688</v>
      </c>
      <c r="F55" s="332">
        <f t="shared" si="1"/>
        <v>0.14227883096366509</v>
      </c>
      <c r="G55" s="377">
        <f>Muut[[#This Row],[Keskim. työttömyysaste 2023, %]]/$F$12</f>
        <v>1.4479560484914702</v>
      </c>
      <c r="H55" s="166">
        <v>0</v>
      </c>
      <c r="I55" s="383">
        <v>11</v>
      </c>
      <c r="J55" s="389">
        <v>193</v>
      </c>
      <c r="K55" s="269">
        <v>2763.44</v>
      </c>
      <c r="L55" s="170">
        <f t="shared" si="2"/>
        <v>1.5943896013664129</v>
      </c>
      <c r="M55" s="377">
        <v>11.558303850583512</v>
      </c>
      <c r="N55" s="166">
        <v>0</v>
      </c>
      <c r="O55" s="397">
        <v>0</v>
      </c>
      <c r="P55" s="269">
        <v>907</v>
      </c>
      <c r="Q55" s="15">
        <v>160</v>
      </c>
      <c r="R55" s="158">
        <v>0.17640573318632854</v>
      </c>
      <c r="S55" s="401">
        <v>1.26215736441187</v>
      </c>
      <c r="T55" s="153">
        <v>313</v>
      </c>
      <c r="U55" s="197">
        <v>440454.09790007205</v>
      </c>
      <c r="V55" s="159">
        <v>0</v>
      </c>
      <c r="W55" s="159">
        <v>0</v>
      </c>
      <c r="X55" s="159">
        <v>341824.23</v>
      </c>
      <c r="Y55" s="159">
        <v>2107822.4532311209</v>
      </c>
      <c r="Z55" s="159">
        <v>0</v>
      </c>
      <c r="AA55" s="155">
        <v>0</v>
      </c>
      <c r="AB55" s="159">
        <v>157600.59195094713</v>
      </c>
      <c r="AC55" s="159">
        <v>264353.54000000004</v>
      </c>
      <c r="AD55" s="174">
        <f>SUM(Muut[[#This Row],[Työttömyysaste]:[Työttömät ja palveluissa olevat ]])</f>
        <v>3312054.91308214</v>
      </c>
      <c r="AF55" s="62"/>
    </row>
    <row r="56" spans="1:32" s="45" customFormat="1">
      <c r="A56" s="90">
        <v>148</v>
      </c>
      <c r="B56" s="151" t="s">
        <v>55</v>
      </c>
      <c r="C56" s="395">
        <v>7127</v>
      </c>
      <c r="D56" s="134">
        <v>358.66666666666669</v>
      </c>
      <c r="E56" s="41">
        <v>3479</v>
      </c>
      <c r="F56" s="332">
        <f t="shared" si="1"/>
        <v>0.10309475903037271</v>
      </c>
      <c r="G56" s="377">
        <f>Muut[[#This Row],[Keskim. työttömyysaste 2023, %]]/$F$12</f>
        <v>1.049184048637009</v>
      </c>
      <c r="H56" s="166">
        <v>0</v>
      </c>
      <c r="I56" s="383">
        <v>28</v>
      </c>
      <c r="J56" s="389">
        <v>358</v>
      </c>
      <c r="K56" s="269">
        <v>15065.87</v>
      </c>
      <c r="L56" s="170">
        <f t="shared" si="2"/>
        <v>0.473055986809922</v>
      </c>
      <c r="M56" s="377">
        <v>38.956148918179586</v>
      </c>
      <c r="N56" s="166">
        <v>0</v>
      </c>
      <c r="O56" s="397">
        <v>0</v>
      </c>
      <c r="P56" s="269">
        <v>2290</v>
      </c>
      <c r="Q56" s="15">
        <v>320</v>
      </c>
      <c r="R56" s="158">
        <v>0.13973799126637554</v>
      </c>
      <c r="S56" s="401">
        <v>0.99980500394896599</v>
      </c>
      <c r="T56" s="153">
        <v>475</v>
      </c>
      <c r="U56" s="197">
        <v>516248.99669846689</v>
      </c>
      <c r="V56" s="159">
        <v>0</v>
      </c>
      <c r="W56" s="159">
        <v>0</v>
      </c>
      <c r="X56" s="159">
        <v>634057.38</v>
      </c>
      <c r="Y56" s="159">
        <v>5899730.5999999996</v>
      </c>
      <c r="Z56" s="159">
        <v>0</v>
      </c>
      <c r="AA56" s="155">
        <v>0</v>
      </c>
      <c r="AB56" s="159">
        <v>201939.79485750891</v>
      </c>
      <c r="AC56" s="159">
        <v>401175.5</v>
      </c>
      <c r="AD56" s="174">
        <f>SUM(Muut[[#This Row],[Työttömyysaste]:[Työttömät ja palveluissa olevat ]])</f>
        <v>7653152.2715559751</v>
      </c>
      <c r="AF56" s="62"/>
    </row>
    <row r="57" spans="1:32" s="45" customFormat="1">
      <c r="A57" s="90">
        <v>149</v>
      </c>
      <c r="B57" s="151" t="s">
        <v>56</v>
      </c>
      <c r="C57" s="395">
        <v>5379</v>
      </c>
      <c r="D57" s="134">
        <v>143.66666666666666</v>
      </c>
      <c r="E57" s="41">
        <v>2571</v>
      </c>
      <c r="F57" s="332">
        <f t="shared" si="1"/>
        <v>5.5879683650978861E-2</v>
      </c>
      <c r="G57" s="377">
        <f>Muut[[#This Row],[Keskim. työttömyysaste 2023, %]]/$F$12</f>
        <v>0.56868140806475809</v>
      </c>
      <c r="H57" s="166">
        <v>3</v>
      </c>
      <c r="I57" s="383">
        <v>2774</v>
      </c>
      <c r="J57" s="389">
        <v>278</v>
      </c>
      <c r="K57" s="269">
        <v>350.85</v>
      </c>
      <c r="L57" s="170">
        <f t="shared" si="2"/>
        <v>15.331338178708849</v>
      </c>
      <c r="M57" s="377">
        <v>1.2020111521899584</v>
      </c>
      <c r="N57" s="166">
        <v>3</v>
      </c>
      <c r="O57" s="397">
        <v>242</v>
      </c>
      <c r="P57" s="269">
        <v>1654</v>
      </c>
      <c r="Q57" s="15">
        <v>225</v>
      </c>
      <c r="R57" s="158">
        <v>0.13603385731559856</v>
      </c>
      <c r="S57" s="401">
        <v>0.97330246426221423</v>
      </c>
      <c r="T57" s="153">
        <v>188</v>
      </c>
      <c r="U57" s="197">
        <v>211189.03077640227</v>
      </c>
      <c r="V57" s="159">
        <v>110338.3512</v>
      </c>
      <c r="W57" s="159">
        <v>755990.45280000009</v>
      </c>
      <c r="X57" s="159">
        <v>492368.57999999996</v>
      </c>
      <c r="Y57" s="159">
        <v>267611.92850799684</v>
      </c>
      <c r="Z57" s="159">
        <v>0</v>
      </c>
      <c r="AA57" s="155">
        <v>71399.680000000008</v>
      </c>
      <c r="AB57" s="159">
        <v>148371.06469225121</v>
      </c>
      <c r="AC57" s="159">
        <v>158781.04</v>
      </c>
      <c r="AD57" s="174">
        <f>SUM(Muut[[#This Row],[Työttömyysaste]:[Työttömät ja palveluissa olevat ]])</f>
        <v>2216050.1279766504</v>
      </c>
      <c r="AF57" s="62"/>
    </row>
    <row r="58" spans="1:32" s="45" customFormat="1">
      <c r="A58" s="90">
        <v>151</v>
      </c>
      <c r="B58" s="151" t="s">
        <v>57</v>
      </c>
      <c r="C58" s="395">
        <v>1814</v>
      </c>
      <c r="D58" s="134">
        <v>37.333333333333336</v>
      </c>
      <c r="E58" s="41">
        <v>805</v>
      </c>
      <c r="F58" s="332">
        <f t="shared" si="1"/>
        <v>4.6376811594202899E-2</v>
      </c>
      <c r="G58" s="377">
        <f>Muut[[#This Row],[Keskim. työttömyysaste 2023, %]]/$F$12</f>
        <v>0.47197172202465226</v>
      </c>
      <c r="H58" s="166">
        <v>0</v>
      </c>
      <c r="I58" s="383">
        <v>14</v>
      </c>
      <c r="J58" s="389">
        <v>80</v>
      </c>
      <c r="K58" s="269">
        <v>642.4</v>
      </c>
      <c r="L58" s="170">
        <f t="shared" si="2"/>
        <v>2.823785803237858</v>
      </c>
      <c r="M58" s="377">
        <v>6.5261463697681972</v>
      </c>
      <c r="N58" s="166">
        <v>0</v>
      </c>
      <c r="O58" s="397">
        <v>0</v>
      </c>
      <c r="P58" s="269">
        <v>439</v>
      </c>
      <c r="Q58" s="15">
        <v>76</v>
      </c>
      <c r="R58" s="158">
        <v>0.17312072892938496</v>
      </c>
      <c r="S58" s="401">
        <v>1.2386536367260681</v>
      </c>
      <c r="T58" s="153">
        <v>57</v>
      </c>
      <c r="U58" s="197">
        <v>59109.058827087742</v>
      </c>
      <c r="V58" s="159">
        <v>0</v>
      </c>
      <c r="W58" s="159">
        <v>0</v>
      </c>
      <c r="X58" s="159">
        <v>141688.79999999999</v>
      </c>
      <c r="Y58" s="159">
        <v>489992.59761589608</v>
      </c>
      <c r="Z58" s="159">
        <v>0</v>
      </c>
      <c r="AA58" s="155">
        <v>0</v>
      </c>
      <c r="AB58" s="159">
        <v>63677.647533577619</v>
      </c>
      <c r="AC58" s="159">
        <v>48141.060000000005</v>
      </c>
      <c r="AD58" s="174">
        <f>SUM(Muut[[#This Row],[Työttömyysaste]:[Työttömät ja palveluissa olevat ]])</f>
        <v>802609.16397656151</v>
      </c>
      <c r="AF58" s="62"/>
    </row>
    <row r="59" spans="1:32" s="45" customFormat="1">
      <c r="A59" s="90">
        <v>152</v>
      </c>
      <c r="B59" s="151" t="s">
        <v>58</v>
      </c>
      <c r="C59" s="395">
        <v>4357</v>
      </c>
      <c r="D59" s="134">
        <v>110.75</v>
      </c>
      <c r="E59" s="41">
        <v>1902</v>
      </c>
      <c r="F59" s="332">
        <f t="shared" si="1"/>
        <v>5.8228180862250262E-2</v>
      </c>
      <c r="G59" s="377">
        <f>Muut[[#This Row],[Keskim. työttömyysaste 2023, %]]/$F$12</f>
        <v>0.59258180645075686</v>
      </c>
      <c r="H59" s="166">
        <v>0</v>
      </c>
      <c r="I59" s="383">
        <v>30</v>
      </c>
      <c r="J59" s="389">
        <v>79</v>
      </c>
      <c r="K59" s="269">
        <v>354.15</v>
      </c>
      <c r="L59" s="170">
        <f t="shared" si="2"/>
        <v>12.302696597486941</v>
      </c>
      <c r="M59" s="377">
        <v>1.4979187142246586</v>
      </c>
      <c r="N59" s="166">
        <v>0</v>
      </c>
      <c r="O59" s="397">
        <v>0</v>
      </c>
      <c r="P59" s="269">
        <v>1171</v>
      </c>
      <c r="Q59" s="15">
        <v>128</v>
      </c>
      <c r="R59" s="158">
        <v>0.10930828351836037</v>
      </c>
      <c r="S59" s="401">
        <v>0.78208487072352939</v>
      </c>
      <c r="T59" s="153">
        <v>167</v>
      </c>
      <c r="U59" s="197">
        <v>178252.92137593863</v>
      </c>
      <c r="V59" s="159">
        <v>0</v>
      </c>
      <c r="W59" s="159">
        <v>0</v>
      </c>
      <c r="X59" s="159">
        <v>139917.69</v>
      </c>
      <c r="Y59" s="159">
        <v>270129.01376972231</v>
      </c>
      <c r="Z59" s="159">
        <v>0</v>
      </c>
      <c r="AA59" s="155">
        <v>0</v>
      </c>
      <c r="AB59" s="159">
        <v>96569.79077458012</v>
      </c>
      <c r="AC59" s="159">
        <v>141044.86000000002</v>
      </c>
      <c r="AD59" s="174">
        <f>SUM(Muut[[#This Row],[Työttömyysaste]:[Työttömät ja palveluissa olevat ]])</f>
        <v>825914.27592024102</v>
      </c>
      <c r="AF59" s="62"/>
    </row>
    <row r="60" spans="1:32" s="45" customFormat="1">
      <c r="A60" s="90">
        <v>153</v>
      </c>
      <c r="B60" s="151" t="s">
        <v>59</v>
      </c>
      <c r="C60" s="395">
        <v>24919</v>
      </c>
      <c r="D60" s="134">
        <v>1536.3333333333333</v>
      </c>
      <c r="E60" s="41">
        <v>10850</v>
      </c>
      <c r="F60" s="332">
        <f t="shared" si="1"/>
        <v>0.14159754224270352</v>
      </c>
      <c r="G60" s="377">
        <f>Muut[[#This Row],[Keskim. työttömyysaste 2023, %]]/$F$12</f>
        <v>1.4410226479454871</v>
      </c>
      <c r="H60" s="166">
        <v>0</v>
      </c>
      <c r="I60" s="383">
        <v>29</v>
      </c>
      <c r="J60" s="389">
        <v>2136</v>
      </c>
      <c r="K60" s="269">
        <v>154.99</v>
      </c>
      <c r="L60" s="170">
        <f t="shared" si="2"/>
        <v>160.77811471707852</v>
      </c>
      <c r="M60" s="377">
        <v>0.11462032317789192</v>
      </c>
      <c r="N60" s="166">
        <v>0</v>
      </c>
      <c r="O60" s="397">
        <v>0</v>
      </c>
      <c r="P60" s="269">
        <v>7026</v>
      </c>
      <c r="Q60" s="15">
        <v>1084</v>
      </c>
      <c r="R60" s="158">
        <v>0.15428408767435239</v>
      </c>
      <c r="S60" s="401">
        <v>1.1038802081566481</v>
      </c>
      <c r="T60" s="153">
        <v>2227</v>
      </c>
      <c r="U60" s="197">
        <v>2479146.5458611646</v>
      </c>
      <c r="V60" s="159">
        <v>0</v>
      </c>
      <c r="W60" s="159">
        <v>0</v>
      </c>
      <c r="X60" s="159">
        <v>3783090.96</v>
      </c>
      <c r="Y60" s="159">
        <v>118219.10445904071</v>
      </c>
      <c r="Z60" s="159">
        <v>0</v>
      </c>
      <c r="AA60" s="155">
        <v>0</v>
      </c>
      <c r="AB60" s="159">
        <v>779565.12630595325</v>
      </c>
      <c r="AC60" s="159">
        <v>1880879.6600000001</v>
      </c>
      <c r="AD60" s="174">
        <f>SUM(Muut[[#This Row],[Työttömyysaste]:[Työttömät ja palveluissa olevat ]])</f>
        <v>9040901.3966261595</v>
      </c>
      <c r="AF60" s="62"/>
    </row>
    <row r="61" spans="1:32" s="45" customFormat="1">
      <c r="A61" s="90">
        <v>165</v>
      </c>
      <c r="B61" s="151" t="s">
        <v>60</v>
      </c>
      <c r="C61" s="395">
        <v>16123</v>
      </c>
      <c r="D61" s="134">
        <v>590.08333333333337</v>
      </c>
      <c r="E61" s="41">
        <v>7647</v>
      </c>
      <c r="F61" s="332">
        <f t="shared" si="1"/>
        <v>7.7165337169260287E-2</v>
      </c>
      <c r="G61" s="377">
        <f>Muut[[#This Row],[Keskim. työttömyysaste 2023, %]]/$F$12</f>
        <v>0.78530316795088095</v>
      </c>
      <c r="H61" s="166">
        <v>0</v>
      </c>
      <c r="I61" s="383">
        <v>67</v>
      </c>
      <c r="J61" s="389">
        <v>612</v>
      </c>
      <c r="K61" s="269">
        <v>547.45000000000005</v>
      </c>
      <c r="L61" s="170">
        <f t="shared" si="2"/>
        <v>29.451091423874324</v>
      </c>
      <c r="M61" s="377">
        <v>0.62573027272818937</v>
      </c>
      <c r="N61" s="166">
        <v>0</v>
      </c>
      <c r="O61" s="397">
        <v>0</v>
      </c>
      <c r="P61" s="269">
        <v>5040</v>
      </c>
      <c r="Q61" s="15">
        <v>645</v>
      </c>
      <c r="R61" s="158">
        <v>0.12797619047619047</v>
      </c>
      <c r="S61" s="401">
        <v>0.91565102993726444</v>
      </c>
      <c r="T61" s="153">
        <v>864</v>
      </c>
      <c r="U61" s="197">
        <v>874146.02312324673</v>
      </c>
      <c r="V61" s="159">
        <v>0</v>
      </c>
      <c r="W61" s="159">
        <v>0</v>
      </c>
      <c r="X61" s="159">
        <v>1083919.3199999998</v>
      </c>
      <c r="Y61" s="159">
        <v>417569.18985806714</v>
      </c>
      <c r="Z61" s="159">
        <v>0</v>
      </c>
      <c r="AA61" s="155">
        <v>0</v>
      </c>
      <c r="AB61" s="159">
        <v>418384.59768792905</v>
      </c>
      <c r="AC61" s="159">
        <v>729717.12</v>
      </c>
      <c r="AD61" s="174">
        <f>SUM(Muut[[#This Row],[Työttömyysaste]:[Työttömät ja palveluissa olevat ]])</f>
        <v>3523736.2506692428</v>
      </c>
      <c r="AF61" s="62"/>
    </row>
    <row r="62" spans="1:32" s="45" customFormat="1">
      <c r="A62" s="90">
        <v>167</v>
      </c>
      <c r="B62" s="151" t="s">
        <v>61</v>
      </c>
      <c r="C62" s="395">
        <v>78062</v>
      </c>
      <c r="D62" s="134">
        <v>4851.333333333333</v>
      </c>
      <c r="E62" s="41">
        <v>35544</v>
      </c>
      <c r="F62" s="332">
        <f t="shared" si="1"/>
        <v>0.13648810863530647</v>
      </c>
      <c r="G62" s="377">
        <f>Muut[[#This Row],[Keskim. työttömyysaste 2023, %]]/$F$12</f>
        <v>1.3890245028518891</v>
      </c>
      <c r="H62" s="166">
        <v>0</v>
      </c>
      <c r="I62" s="383">
        <v>84</v>
      </c>
      <c r="J62" s="389">
        <v>5753</v>
      </c>
      <c r="K62" s="269">
        <v>2381.8200000000002</v>
      </c>
      <c r="L62" s="170">
        <f t="shared" si="2"/>
        <v>32.774097119009831</v>
      </c>
      <c r="M62" s="377">
        <v>0.5622867169120197</v>
      </c>
      <c r="N62" s="166">
        <v>0</v>
      </c>
      <c r="O62" s="397">
        <v>0</v>
      </c>
      <c r="P62" s="269">
        <v>22685</v>
      </c>
      <c r="Q62" s="15">
        <v>2376</v>
      </c>
      <c r="R62" s="158">
        <v>0.10473881419440159</v>
      </c>
      <c r="S62" s="401">
        <v>0.74939098229646273</v>
      </c>
      <c r="T62" s="153">
        <v>6813</v>
      </c>
      <c r="U62" s="197">
        <v>7486009.3224017331</v>
      </c>
      <c r="V62" s="159">
        <v>0</v>
      </c>
      <c r="W62" s="159">
        <v>0</v>
      </c>
      <c r="X62" s="159">
        <v>10189195.83</v>
      </c>
      <c r="Y62" s="159">
        <v>1816740.6115403078</v>
      </c>
      <c r="Z62" s="159">
        <v>0</v>
      </c>
      <c r="AA62" s="155">
        <v>0</v>
      </c>
      <c r="AB62" s="159">
        <v>1657860.4940931504</v>
      </c>
      <c r="AC62" s="159">
        <v>5754123.54</v>
      </c>
      <c r="AD62" s="174">
        <f>SUM(Muut[[#This Row],[Työttömyysaste]:[Työttömät ja palveluissa olevat ]])</f>
        <v>26903929.79803519</v>
      </c>
      <c r="AF62" s="62"/>
    </row>
    <row r="63" spans="1:32" s="45" customFormat="1">
      <c r="A63" s="90">
        <v>169</v>
      </c>
      <c r="B63" s="151" t="s">
        <v>62</v>
      </c>
      <c r="C63" s="395">
        <v>4916</v>
      </c>
      <c r="D63" s="134">
        <v>165</v>
      </c>
      <c r="E63" s="41">
        <v>2309</v>
      </c>
      <c r="F63" s="332">
        <f t="shared" si="1"/>
        <v>7.1459506279774793E-2</v>
      </c>
      <c r="G63" s="377">
        <f>Muut[[#This Row],[Keskim. työttömyysaste 2023, %]]/$F$12</f>
        <v>0.72723555316839894</v>
      </c>
      <c r="H63" s="166">
        <v>0</v>
      </c>
      <c r="I63" s="383">
        <v>22</v>
      </c>
      <c r="J63" s="389">
        <v>172</v>
      </c>
      <c r="K63" s="269">
        <v>180.42</v>
      </c>
      <c r="L63" s="170">
        <f t="shared" si="2"/>
        <v>27.247533532867756</v>
      </c>
      <c r="M63" s="377">
        <v>0.67633422476842286</v>
      </c>
      <c r="N63" s="166">
        <v>0</v>
      </c>
      <c r="O63" s="397">
        <v>0</v>
      </c>
      <c r="P63" s="269">
        <v>1380</v>
      </c>
      <c r="Q63" s="15">
        <v>201</v>
      </c>
      <c r="R63" s="158">
        <v>0.14565217391304347</v>
      </c>
      <c r="S63" s="401">
        <v>1.0421201206242516</v>
      </c>
      <c r="T63" s="153">
        <v>248</v>
      </c>
      <c r="U63" s="197">
        <v>246824.21217610865</v>
      </c>
      <c r="V63" s="159">
        <v>0</v>
      </c>
      <c r="W63" s="159">
        <v>0</v>
      </c>
      <c r="X63" s="159">
        <v>304630.92</v>
      </c>
      <c r="Y63" s="159">
        <v>137615.91603651925</v>
      </c>
      <c r="Z63" s="159">
        <v>0</v>
      </c>
      <c r="AA63" s="155">
        <v>0</v>
      </c>
      <c r="AB63" s="159">
        <v>145187.59161810321</v>
      </c>
      <c r="AC63" s="159">
        <v>209455.84</v>
      </c>
      <c r="AD63" s="174">
        <f>SUM(Muut[[#This Row],[Työttömyysaste]:[Työttömät ja palveluissa olevat ]])</f>
        <v>1043714.4798307311</v>
      </c>
      <c r="AF63" s="62"/>
    </row>
    <row r="64" spans="1:32" s="45" customFormat="1">
      <c r="A64" s="90">
        <v>171</v>
      </c>
      <c r="B64" s="151" t="s">
        <v>63</v>
      </c>
      <c r="C64" s="395">
        <v>4590</v>
      </c>
      <c r="D64" s="134">
        <v>167.75</v>
      </c>
      <c r="E64" s="41">
        <v>1960</v>
      </c>
      <c r="F64" s="332">
        <f t="shared" si="1"/>
        <v>8.558673469387755E-2</v>
      </c>
      <c r="G64" s="377">
        <f>Muut[[#This Row],[Keskim. työttömyysaste 2023, %]]/$F$12</f>
        <v>0.87100680636237948</v>
      </c>
      <c r="H64" s="166">
        <v>0</v>
      </c>
      <c r="I64" s="383">
        <v>17</v>
      </c>
      <c r="J64" s="389">
        <v>262</v>
      </c>
      <c r="K64" s="269">
        <v>574.85</v>
      </c>
      <c r="L64" s="170">
        <f t="shared" si="2"/>
        <v>7.9846916586935723</v>
      </c>
      <c r="M64" s="377">
        <v>2.3079713352160827</v>
      </c>
      <c r="N64" s="166">
        <v>0</v>
      </c>
      <c r="O64" s="397">
        <v>0</v>
      </c>
      <c r="P64" s="269">
        <v>1257</v>
      </c>
      <c r="Q64" s="15">
        <v>173</v>
      </c>
      <c r="R64" s="158">
        <v>0.13762927605409706</v>
      </c>
      <c r="S64" s="401">
        <v>0.98471745329768756</v>
      </c>
      <c r="T64" s="153">
        <v>253</v>
      </c>
      <c r="U64" s="197">
        <v>276016.48249267734</v>
      </c>
      <c r="V64" s="159">
        <v>0</v>
      </c>
      <c r="W64" s="159">
        <v>0</v>
      </c>
      <c r="X64" s="159">
        <v>464030.81999999995</v>
      </c>
      <c r="Y64" s="159">
        <v>438468.62506148487</v>
      </c>
      <c r="Z64" s="159">
        <v>0</v>
      </c>
      <c r="AA64" s="155">
        <v>0</v>
      </c>
      <c r="AB64" s="159">
        <v>128092.63715543518</v>
      </c>
      <c r="AC64" s="159">
        <v>213678.74000000002</v>
      </c>
      <c r="AD64" s="174">
        <f>SUM(Muut[[#This Row],[Työttömyysaste]:[Työttömät ja palveluissa olevat ]])</f>
        <v>1520287.3047095975</v>
      </c>
      <c r="AF64" s="62"/>
    </row>
    <row r="65" spans="1:32" s="45" customFormat="1">
      <c r="A65" s="90">
        <v>172</v>
      </c>
      <c r="B65" s="151" t="s">
        <v>64</v>
      </c>
      <c r="C65" s="395">
        <v>4079</v>
      </c>
      <c r="D65" s="134">
        <v>202.83333333333334</v>
      </c>
      <c r="E65" s="41">
        <v>1644</v>
      </c>
      <c r="F65" s="332">
        <f t="shared" si="1"/>
        <v>0.12337793998377941</v>
      </c>
      <c r="G65" s="377">
        <f>Muut[[#This Row],[Keskim. työttömyysaste 2023, %]]/$F$12</f>
        <v>1.2556037552455941</v>
      </c>
      <c r="H65" s="166">
        <v>0</v>
      </c>
      <c r="I65" s="383">
        <v>11</v>
      </c>
      <c r="J65" s="389">
        <v>120</v>
      </c>
      <c r="K65" s="269">
        <v>867.06</v>
      </c>
      <c r="L65" s="170">
        <f t="shared" si="2"/>
        <v>4.7044033861555139</v>
      </c>
      <c r="M65" s="377">
        <v>3.9172745098850097</v>
      </c>
      <c r="N65" s="166">
        <v>3</v>
      </c>
      <c r="O65" s="397">
        <v>247</v>
      </c>
      <c r="P65" s="269">
        <v>948</v>
      </c>
      <c r="Q65" s="15">
        <v>162</v>
      </c>
      <c r="R65" s="158">
        <v>0.17088607594936708</v>
      </c>
      <c r="S65" s="401">
        <v>1.2226650196630651</v>
      </c>
      <c r="T65" s="153">
        <v>265</v>
      </c>
      <c r="U65" s="197">
        <v>353595.79682633362</v>
      </c>
      <c r="V65" s="159">
        <v>0</v>
      </c>
      <c r="W65" s="159">
        <v>0</v>
      </c>
      <c r="X65" s="159">
        <v>212533.19999999998</v>
      </c>
      <c r="Y65" s="159">
        <v>661352.71122172929</v>
      </c>
      <c r="Z65" s="159">
        <v>0</v>
      </c>
      <c r="AA65" s="155">
        <v>72874.880000000005</v>
      </c>
      <c r="AB65" s="159">
        <v>141338.6824349279</v>
      </c>
      <c r="AC65" s="159">
        <v>223813.7</v>
      </c>
      <c r="AD65" s="174">
        <f>SUM(Muut[[#This Row],[Työttömyysaste]:[Työttömät ja palveluissa olevat ]])</f>
        <v>1665508.9704829906</v>
      </c>
      <c r="AF65" s="62"/>
    </row>
    <row r="66" spans="1:32" s="45" customFormat="1">
      <c r="A66" s="90">
        <v>176</v>
      </c>
      <c r="B66" s="151" t="s">
        <v>65</v>
      </c>
      <c r="C66" s="395">
        <v>4259</v>
      </c>
      <c r="D66" s="134">
        <v>273.5</v>
      </c>
      <c r="E66" s="41">
        <v>1663</v>
      </c>
      <c r="F66" s="332">
        <f t="shared" si="1"/>
        <v>0.16446181599518941</v>
      </c>
      <c r="G66" s="377">
        <f>Muut[[#This Row],[Keskim. työttömyysaste 2023, %]]/$F$12</f>
        <v>1.6737098527112571</v>
      </c>
      <c r="H66" s="166">
        <v>0</v>
      </c>
      <c r="I66" s="383">
        <v>2</v>
      </c>
      <c r="J66" s="389">
        <v>136</v>
      </c>
      <c r="K66" s="269">
        <v>1501.63</v>
      </c>
      <c r="L66" s="170">
        <f t="shared" si="2"/>
        <v>2.8362512736160039</v>
      </c>
      <c r="M66" s="377">
        <v>6.497463620460139</v>
      </c>
      <c r="N66" s="166">
        <v>3</v>
      </c>
      <c r="O66" s="397">
        <v>185</v>
      </c>
      <c r="P66" s="269">
        <v>911</v>
      </c>
      <c r="Q66" s="15">
        <v>161</v>
      </c>
      <c r="R66" s="158">
        <v>0.17672886937431395</v>
      </c>
      <c r="S66" s="401">
        <v>1.26446935683982</v>
      </c>
      <c r="T66" s="153">
        <v>357</v>
      </c>
      <c r="U66" s="197">
        <v>492139.92133661779</v>
      </c>
      <c r="V66" s="159">
        <v>0</v>
      </c>
      <c r="W66" s="159">
        <v>0</v>
      </c>
      <c r="X66" s="159">
        <v>240870.96</v>
      </c>
      <c r="Y66" s="159">
        <v>1145372.9519893494</v>
      </c>
      <c r="Z66" s="159">
        <v>0</v>
      </c>
      <c r="AA66" s="155">
        <v>54582.400000000001</v>
      </c>
      <c r="AB66" s="159">
        <v>152621.52723872769</v>
      </c>
      <c r="AC66" s="159">
        <v>301515.06</v>
      </c>
      <c r="AD66" s="174">
        <f>SUM(Muut[[#This Row],[Työttömyysaste]:[Työttömät ja palveluissa olevat ]])</f>
        <v>2387102.8205646947</v>
      </c>
      <c r="AF66" s="62"/>
    </row>
    <row r="67" spans="1:32" s="45" customFormat="1">
      <c r="A67" s="90">
        <v>177</v>
      </c>
      <c r="B67" s="151" t="s">
        <v>66</v>
      </c>
      <c r="C67" s="395">
        <v>1708</v>
      </c>
      <c r="D67" s="134">
        <v>51.916666666666664</v>
      </c>
      <c r="E67" s="41">
        <v>748</v>
      </c>
      <c r="F67" s="332">
        <f t="shared" si="1"/>
        <v>6.9407308377896604E-2</v>
      </c>
      <c r="G67" s="377">
        <f>Muut[[#This Row],[Keskim. työttömyysaste 2023, %]]/$F$12</f>
        <v>0.70635056033706989</v>
      </c>
      <c r="H67" s="166">
        <v>0</v>
      </c>
      <c r="I67" s="383">
        <v>4</v>
      </c>
      <c r="J67" s="389">
        <v>29</v>
      </c>
      <c r="K67" s="269">
        <v>258.48</v>
      </c>
      <c r="L67" s="170">
        <f t="shared" si="2"/>
        <v>6.6078613432373876</v>
      </c>
      <c r="M67" s="377">
        <v>2.7888659449042073</v>
      </c>
      <c r="N67" s="166">
        <v>0</v>
      </c>
      <c r="O67" s="397">
        <v>0</v>
      </c>
      <c r="P67" s="269">
        <v>462</v>
      </c>
      <c r="Q67" s="15">
        <v>72</v>
      </c>
      <c r="R67" s="158">
        <v>0.15584415584415584</v>
      </c>
      <c r="S67" s="401">
        <v>1.1150422690145123</v>
      </c>
      <c r="T67" s="153">
        <v>83</v>
      </c>
      <c r="U67" s="197">
        <v>83293.08410712659</v>
      </c>
      <c r="V67" s="159">
        <v>0</v>
      </c>
      <c r="W67" s="159">
        <v>0</v>
      </c>
      <c r="X67" s="159">
        <v>51362.189999999995</v>
      </c>
      <c r="Y67" s="159">
        <v>197156.42377297144</v>
      </c>
      <c r="Z67" s="159">
        <v>0</v>
      </c>
      <c r="AA67" s="155">
        <v>0</v>
      </c>
      <c r="AB67" s="159">
        <v>53973.30881981214</v>
      </c>
      <c r="AC67" s="159">
        <v>70100.14</v>
      </c>
      <c r="AD67" s="174">
        <f>SUM(Muut[[#This Row],[Työttömyysaste]:[Työttömät ja palveluissa olevat ]])</f>
        <v>455885.14669991017</v>
      </c>
      <c r="AF67" s="62"/>
    </row>
    <row r="68" spans="1:32" s="45" customFormat="1">
      <c r="A68" s="90">
        <v>178</v>
      </c>
      <c r="B68" s="151" t="s">
        <v>67</v>
      </c>
      <c r="C68" s="395">
        <v>5734</v>
      </c>
      <c r="D68" s="134">
        <v>179.25</v>
      </c>
      <c r="E68" s="41">
        <v>2378</v>
      </c>
      <c r="F68" s="332">
        <f t="shared" si="1"/>
        <v>7.5378469301934398E-2</v>
      </c>
      <c r="G68" s="377">
        <f>Muut[[#This Row],[Keskim. työttömyysaste 2023, %]]/$F$12</f>
        <v>0.76711840976285295</v>
      </c>
      <c r="H68" s="166">
        <v>0</v>
      </c>
      <c r="I68" s="383">
        <v>14</v>
      </c>
      <c r="J68" s="389">
        <v>226</v>
      </c>
      <c r="K68" s="269">
        <v>1163.5</v>
      </c>
      <c r="L68" s="170">
        <f t="shared" si="2"/>
        <v>4.9282337773957883</v>
      </c>
      <c r="M68" s="377">
        <v>3.739359839894163</v>
      </c>
      <c r="N68" s="166">
        <v>0</v>
      </c>
      <c r="O68" s="397">
        <v>0</v>
      </c>
      <c r="P68" s="269">
        <v>1333</v>
      </c>
      <c r="Q68" s="15">
        <v>170</v>
      </c>
      <c r="R68" s="158">
        <v>0.12753188297074269</v>
      </c>
      <c r="S68" s="401">
        <v>0.91247207435608702</v>
      </c>
      <c r="T68" s="153">
        <v>267</v>
      </c>
      <c r="U68" s="197">
        <v>303683.27662749693</v>
      </c>
      <c r="V68" s="159">
        <v>0</v>
      </c>
      <c r="W68" s="159">
        <v>0</v>
      </c>
      <c r="X68" s="159">
        <v>400270.86</v>
      </c>
      <c r="Y68" s="159">
        <v>887463.2430356401</v>
      </c>
      <c r="Z68" s="159">
        <v>0</v>
      </c>
      <c r="AA68" s="155">
        <v>0</v>
      </c>
      <c r="AB68" s="159">
        <v>148278.13553930016</v>
      </c>
      <c r="AC68" s="159">
        <v>225502.86000000002</v>
      </c>
      <c r="AD68" s="174">
        <f>SUM(Muut[[#This Row],[Työttömyysaste]:[Työttömät ja palveluissa olevat ]])</f>
        <v>1965198.3752024372</v>
      </c>
      <c r="AF68" s="62"/>
    </row>
    <row r="69" spans="1:32" s="45" customFormat="1">
      <c r="A69" s="90">
        <v>179</v>
      </c>
      <c r="B69" s="151" t="s">
        <v>68</v>
      </c>
      <c r="C69" s="395">
        <v>147746</v>
      </c>
      <c r="D69" s="134">
        <v>9048.9166666666661</v>
      </c>
      <c r="E69" s="41">
        <v>70552</v>
      </c>
      <c r="F69" s="332">
        <f t="shared" si="1"/>
        <v>0.12825882564160712</v>
      </c>
      <c r="G69" s="377">
        <f>Muut[[#This Row],[Keskim. työttömyysaste 2023, %]]/$F$12</f>
        <v>1.3052759929381552</v>
      </c>
      <c r="H69" s="166">
        <v>0</v>
      </c>
      <c r="I69" s="383">
        <v>292</v>
      </c>
      <c r="J69" s="389">
        <v>10003</v>
      </c>
      <c r="K69" s="269">
        <v>1171.03</v>
      </c>
      <c r="L69" s="170">
        <f t="shared" si="2"/>
        <v>126.16756188996013</v>
      </c>
      <c r="M69" s="377">
        <v>0.14606321302203254</v>
      </c>
      <c r="N69" s="166">
        <v>3</v>
      </c>
      <c r="O69" s="397">
        <v>429</v>
      </c>
      <c r="P69" s="269">
        <v>47034</v>
      </c>
      <c r="Q69" s="15">
        <v>4290</v>
      </c>
      <c r="R69" s="158">
        <v>9.1210613598673301E-2</v>
      </c>
      <c r="S69" s="401">
        <v>0.65259867458215315</v>
      </c>
      <c r="T69" s="153">
        <v>13154</v>
      </c>
      <c r="U69" s="197">
        <v>13314316.145106316</v>
      </c>
      <c r="V69" s="159">
        <v>0</v>
      </c>
      <c r="W69" s="159">
        <v>0</v>
      </c>
      <c r="X69" s="159">
        <v>17716413.329999998</v>
      </c>
      <c r="Y69" s="159">
        <v>893206.77395103185</v>
      </c>
      <c r="Z69" s="159">
        <v>0</v>
      </c>
      <c r="AA69" s="155">
        <v>126572.16</v>
      </c>
      <c r="AB69" s="159">
        <v>2732510.0325782513</v>
      </c>
      <c r="AC69" s="159">
        <v>11109605.32</v>
      </c>
      <c r="AD69" s="174">
        <f>SUM(Muut[[#This Row],[Työttömyysaste]:[Työttömät ja palveluissa olevat ]])</f>
        <v>45892623.761635594</v>
      </c>
      <c r="AF69" s="62"/>
    </row>
    <row r="70" spans="1:32" s="45" customFormat="1">
      <c r="A70" s="90">
        <v>181</v>
      </c>
      <c r="B70" s="151" t="s">
        <v>69</v>
      </c>
      <c r="C70" s="395">
        <v>1682</v>
      </c>
      <c r="D70" s="134">
        <v>49.25</v>
      </c>
      <c r="E70" s="41">
        <v>720</v>
      </c>
      <c r="F70" s="332">
        <f t="shared" si="1"/>
        <v>6.8402777777777785E-2</v>
      </c>
      <c r="G70" s="377">
        <f>Muut[[#This Row],[Keskim. työttömyysaste 2023, %]]/$F$12</f>
        <v>0.69612756266070952</v>
      </c>
      <c r="H70" s="166">
        <v>0</v>
      </c>
      <c r="I70" s="383">
        <v>3</v>
      </c>
      <c r="J70" s="389">
        <v>53</v>
      </c>
      <c r="K70" s="269">
        <v>215.08</v>
      </c>
      <c r="L70" s="170">
        <f t="shared" si="2"/>
        <v>7.8203459177980283</v>
      </c>
      <c r="M70" s="377">
        <v>2.3564736985435815</v>
      </c>
      <c r="N70" s="166">
        <v>0</v>
      </c>
      <c r="O70" s="397">
        <v>0</v>
      </c>
      <c r="P70" s="269">
        <v>450</v>
      </c>
      <c r="Q70" s="15">
        <v>63</v>
      </c>
      <c r="R70" s="158">
        <v>0.14000000000000001</v>
      </c>
      <c r="S70" s="401">
        <v>1.0016796383313704</v>
      </c>
      <c r="T70" s="153">
        <v>74</v>
      </c>
      <c r="U70" s="197">
        <v>80838.008129692447</v>
      </c>
      <c r="V70" s="159">
        <v>0</v>
      </c>
      <c r="W70" s="159">
        <v>0</v>
      </c>
      <c r="X70" s="159">
        <v>93868.83</v>
      </c>
      <c r="Y70" s="159">
        <v>164052.93881573307</v>
      </c>
      <c r="Z70" s="159">
        <v>0</v>
      </c>
      <c r="AA70" s="155">
        <v>0</v>
      </c>
      <c r="AB70" s="159">
        <v>47747.944798423167</v>
      </c>
      <c r="AC70" s="159">
        <v>62498.920000000006</v>
      </c>
      <c r="AD70" s="174">
        <f>SUM(Muut[[#This Row],[Työttömyysaste]:[Työttömät ja palveluissa olevat ]])</f>
        <v>449006.64174384868</v>
      </c>
      <c r="AF70" s="62"/>
    </row>
    <row r="71" spans="1:32" s="45" customFormat="1">
      <c r="A71" s="90">
        <v>182</v>
      </c>
      <c r="B71" s="151" t="s">
        <v>70</v>
      </c>
      <c r="C71" s="395">
        <v>19182</v>
      </c>
      <c r="D71" s="134">
        <v>1108.5833333333333</v>
      </c>
      <c r="E71" s="41">
        <v>8304</v>
      </c>
      <c r="F71" s="332">
        <f t="shared" si="1"/>
        <v>0.13349991971740527</v>
      </c>
      <c r="G71" s="377">
        <f>Muut[[#This Row],[Keskim. työttömyysaste 2023, %]]/$F$12</f>
        <v>1.3586140321697453</v>
      </c>
      <c r="H71" s="166">
        <v>0</v>
      </c>
      <c r="I71" s="383">
        <v>27</v>
      </c>
      <c r="J71" s="389">
        <v>630</v>
      </c>
      <c r="K71" s="269">
        <v>1571.41</v>
      </c>
      <c r="L71" s="170">
        <f t="shared" si="2"/>
        <v>12.206871535754512</v>
      </c>
      <c r="M71" s="377">
        <v>1.5096775135894513</v>
      </c>
      <c r="N71" s="166">
        <v>0</v>
      </c>
      <c r="O71" s="397">
        <v>0</v>
      </c>
      <c r="P71" s="269">
        <v>4885</v>
      </c>
      <c r="Q71" s="15">
        <v>586</v>
      </c>
      <c r="R71" s="158">
        <v>0.11995905834186285</v>
      </c>
      <c r="S71" s="401">
        <v>0.85828961553177807</v>
      </c>
      <c r="T71" s="153">
        <v>1584</v>
      </c>
      <c r="U71" s="197">
        <v>1799246.9085651271</v>
      </c>
      <c r="V71" s="159">
        <v>0</v>
      </c>
      <c r="W71" s="159">
        <v>0</v>
      </c>
      <c r="X71" s="159">
        <v>1115799.3</v>
      </c>
      <c r="Y71" s="159">
        <v>1198597.8639781997</v>
      </c>
      <c r="Z71" s="159">
        <v>0</v>
      </c>
      <c r="AA71" s="155">
        <v>0</v>
      </c>
      <c r="AB71" s="159">
        <v>466581.58122140024</v>
      </c>
      <c r="AC71" s="159">
        <v>1337814.72</v>
      </c>
      <c r="AD71" s="174">
        <f>SUM(Muut[[#This Row],[Työttömyysaste]:[Työttömät ja palveluissa olevat ]])</f>
        <v>5918040.3737647263</v>
      </c>
      <c r="AF71" s="62"/>
    </row>
    <row r="72" spans="1:32" s="45" customFormat="1">
      <c r="A72" s="90">
        <v>186</v>
      </c>
      <c r="B72" s="151" t="s">
        <v>71</v>
      </c>
      <c r="C72" s="395">
        <v>46490</v>
      </c>
      <c r="D72" s="134">
        <v>2309.6666666666665</v>
      </c>
      <c r="E72" s="41">
        <v>23331</v>
      </c>
      <c r="F72" s="332">
        <f t="shared" si="1"/>
        <v>9.8995613847098984E-2</v>
      </c>
      <c r="G72" s="377">
        <f>Muut[[#This Row],[Keskim. työttömyysaste 2023, %]]/$F$12</f>
        <v>1.0074674979627796</v>
      </c>
      <c r="H72" s="166">
        <v>0</v>
      </c>
      <c r="I72" s="383">
        <v>493</v>
      </c>
      <c r="J72" s="389">
        <v>3945</v>
      </c>
      <c r="K72" s="269">
        <v>37.54</v>
      </c>
      <c r="L72" s="170">
        <f t="shared" si="2"/>
        <v>1238.4123601491742</v>
      </c>
      <c r="M72" s="377">
        <v>1.4880697303912491E-2</v>
      </c>
      <c r="N72" s="166">
        <v>0</v>
      </c>
      <c r="O72" s="397">
        <v>0</v>
      </c>
      <c r="P72" s="269">
        <v>15701</v>
      </c>
      <c r="Q72" s="15">
        <v>2117</v>
      </c>
      <c r="R72" s="158">
        <v>0.13483217629450353</v>
      </c>
      <c r="S72" s="401">
        <v>0.96470461132935614</v>
      </c>
      <c r="T72" s="153">
        <v>3005</v>
      </c>
      <c r="U72" s="197">
        <v>3233637.8011991954</v>
      </c>
      <c r="V72" s="159">
        <v>0</v>
      </c>
      <c r="W72" s="159">
        <v>0</v>
      </c>
      <c r="X72" s="159">
        <v>6987028.9499999993</v>
      </c>
      <c r="Y72" s="159">
        <v>28633.751734901525</v>
      </c>
      <c r="Z72" s="159">
        <v>0</v>
      </c>
      <c r="AA72" s="155">
        <v>0</v>
      </c>
      <c r="AB72" s="159">
        <v>1271023.9865690882</v>
      </c>
      <c r="AC72" s="159">
        <v>2537962.9</v>
      </c>
      <c r="AD72" s="174">
        <f>SUM(Muut[[#This Row],[Työttömyysaste]:[Työttömät ja palveluissa olevat ]])</f>
        <v>14058287.389503185</v>
      </c>
      <c r="AF72" s="62"/>
    </row>
    <row r="73" spans="1:32" s="45" customFormat="1">
      <c r="A73" s="90">
        <v>202</v>
      </c>
      <c r="B73" s="151" t="s">
        <v>72</v>
      </c>
      <c r="C73" s="395">
        <v>36339</v>
      </c>
      <c r="D73" s="134">
        <v>969.58333333333337</v>
      </c>
      <c r="E73" s="41">
        <v>17313</v>
      </c>
      <c r="F73" s="332">
        <f t="shared" si="1"/>
        <v>5.6003196056912917E-2</v>
      </c>
      <c r="G73" s="377">
        <f>Muut[[#This Row],[Keskim. työttömyysaste 2023, %]]/$F$12</f>
        <v>0.56993838026522281</v>
      </c>
      <c r="H73" s="166">
        <v>0</v>
      </c>
      <c r="I73" s="383">
        <v>1785</v>
      </c>
      <c r="J73" s="389">
        <v>2306</v>
      </c>
      <c r="K73" s="269">
        <v>150.57</v>
      </c>
      <c r="L73" s="170">
        <f t="shared" si="2"/>
        <v>241.34289699143255</v>
      </c>
      <c r="M73" s="377">
        <v>7.6357911082247071E-2</v>
      </c>
      <c r="N73" s="166">
        <v>3</v>
      </c>
      <c r="O73" s="397">
        <v>232</v>
      </c>
      <c r="P73" s="269">
        <v>12406</v>
      </c>
      <c r="Q73" s="15">
        <v>1129</v>
      </c>
      <c r="R73" s="158">
        <v>9.1004352732548768E-2</v>
      </c>
      <c r="S73" s="401">
        <v>0.65112290808371365</v>
      </c>
      <c r="T73" s="153">
        <v>1482</v>
      </c>
      <c r="U73" s="197">
        <v>1429886.8048636157</v>
      </c>
      <c r="V73" s="159">
        <v>0</v>
      </c>
      <c r="W73" s="159">
        <v>0</v>
      </c>
      <c r="X73" s="159">
        <v>4084179.6599999997</v>
      </c>
      <c r="Y73" s="159">
        <v>114847.73571454776</v>
      </c>
      <c r="Z73" s="159">
        <v>0</v>
      </c>
      <c r="AA73" s="155">
        <v>68449.279999999999</v>
      </c>
      <c r="AB73" s="159">
        <v>670557.14281324437</v>
      </c>
      <c r="AC73" s="159">
        <v>1251667.56</v>
      </c>
      <c r="AD73" s="174">
        <f>SUM(Muut[[#This Row],[Työttömyysaste]:[Työttömät ja palveluissa olevat ]])</f>
        <v>7619588.1833914071</v>
      </c>
      <c r="AF73" s="62"/>
    </row>
    <row r="74" spans="1:32" s="45" customFormat="1">
      <c r="A74" s="90">
        <v>204</v>
      </c>
      <c r="B74" s="151" t="s">
        <v>73</v>
      </c>
      <c r="C74" s="395">
        <v>2628</v>
      </c>
      <c r="D74" s="134">
        <v>134.41666666666666</v>
      </c>
      <c r="E74" s="41">
        <v>1013</v>
      </c>
      <c r="F74" s="332">
        <f t="shared" si="1"/>
        <v>0.13269167489305692</v>
      </c>
      <c r="G74" s="377">
        <f>Muut[[#This Row],[Keskim. työttömyysaste 2023, %]]/$F$12</f>
        <v>1.3503886132922456</v>
      </c>
      <c r="H74" s="166">
        <v>0</v>
      </c>
      <c r="I74" s="383">
        <v>4</v>
      </c>
      <c r="J74" s="389">
        <v>49</v>
      </c>
      <c r="K74" s="269">
        <v>674.1</v>
      </c>
      <c r="L74" s="170">
        <f t="shared" si="2"/>
        <v>3.8985313751668889</v>
      </c>
      <c r="M74" s="377">
        <v>4.7270209459362968</v>
      </c>
      <c r="N74" s="166">
        <v>0</v>
      </c>
      <c r="O74" s="397">
        <v>0</v>
      </c>
      <c r="P74" s="269">
        <v>635</v>
      </c>
      <c r="Q74" s="15">
        <v>114</v>
      </c>
      <c r="R74" s="158">
        <v>0.17952755905511811</v>
      </c>
      <c r="S74" s="401">
        <v>1.2844935744631745</v>
      </c>
      <c r="T74" s="153">
        <v>172</v>
      </c>
      <c r="U74" s="197">
        <v>245010.6208765388</v>
      </c>
      <c r="V74" s="159">
        <v>0</v>
      </c>
      <c r="W74" s="159">
        <v>0</v>
      </c>
      <c r="X74" s="159">
        <v>86784.39</v>
      </c>
      <c r="Y74" s="159">
        <v>514171.87119065318</v>
      </c>
      <c r="Z74" s="159">
        <v>0</v>
      </c>
      <c r="AA74" s="155">
        <v>0</v>
      </c>
      <c r="AB74" s="159">
        <v>95665.895881952558</v>
      </c>
      <c r="AC74" s="159">
        <v>145267.76</v>
      </c>
      <c r="AD74" s="174">
        <f>SUM(Muut[[#This Row],[Työttömyysaste]:[Työttömät ja palveluissa olevat ]])</f>
        <v>1086900.5379491446</v>
      </c>
      <c r="AF74" s="62"/>
    </row>
    <row r="75" spans="1:32" s="45" customFormat="1">
      <c r="A75" s="90">
        <v>205</v>
      </c>
      <c r="B75" s="151" t="s">
        <v>74</v>
      </c>
      <c r="C75" s="395">
        <v>36513</v>
      </c>
      <c r="D75" s="134">
        <v>1499.9166666666667</v>
      </c>
      <c r="E75" s="41">
        <v>16615</v>
      </c>
      <c r="F75" s="332">
        <f t="shared" si="1"/>
        <v>9.0274852041328124E-2</v>
      </c>
      <c r="G75" s="377">
        <f>Muut[[#This Row],[Keskim. työttömyysaste 2023, %]]/$F$12</f>
        <v>0.91871726211536775</v>
      </c>
      <c r="H75" s="166">
        <v>0</v>
      </c>
      <c r="I75" s="383">
        <v>40</v>
      </c>
      <c r="J75" s="389">
        <v>2501</v>
      </c>
      <c r="K75" s="269">
        <v>1834.83</v>
      </c>
      <c r="L75" s="170">
        <f t="shared" si="2"/>
        <v>19.899936233874527</v>
      </c>
      <c r="M75" s="377">
        <v>0.92605520199778524</v>
      </c>
      <c r="N75" s="166">
        <v>0</v>
      </c>
      <c r="O75" s="397">
        <v>0</v>
      </c>
      <c r="P75" s="269">
        <v>10708</v>
      </c>
      <c r="Q75" s="15">
        <v>1139</v>
      </c>
      <c r="R75" s="158">
        <v>0.10636906985431453</v>
      </c>
      <c r="S75" s="401">
        <v>0.76105522443795748</v>
      </c>
      <c r="T75" s="153">
        <v>2536</v>
      </c>
      <c r="U75" s="197">
        <v>2315955.3189573358</v>
      </c>
      <c r="V75" s="159">
        <v>0</v>
      </c>
      <c r="W75" s="159">
        <v>0</v>
      </c>
      <c r="X75" s="159">
        <v>4429546.1099999994</v>
      </c>
      <c r="Y75" s="159">
        <v>1399522.288112663</v>
      </c>
      <c r="Z75" s="159">
        <v>0</v>
      </c>
      <c r="AA75" s="155">
        <v>0</v>
      </c>
      <c r="AB75" s="159">
        <v>787523.52267665509</v>
      </c>
      <c r="AC75" s="159">
        <v>2141854.88</v>
      </c>
      <c r="AD75" s="174">
        <f>SUM(Muut[[#This Row],[Työttömyysaste]:[Työttömät ja palveluissa olevat ]])</f>
        <v>11074402.119746652</v>
      </c>
      <c r="AF75" s="62"/>
    </row>
    <row r="76" spans="1:32" s="45" customFormat="1">
      <c r="A76" s="90">
        <v>208</v>
      </c>
      <c r="B76" s="151" t="s">
        <v>75</v>
      </c>
      <c r="C76" s="395">
        <v>12372</v>
      </c>
      <c r="D76" s="134">
        <v>417.41666666666669</v>
      </c>
      <c r="E76" s="41">
        <v>5377</v>
      </c>
      <c r="F76" s="332">
        <f t="shared" si="1"/>
        <v>7.7630029136445358E-2</v>
      </c>
      <c r="G76" s="377">
        <f>Muut[[#This Row],[Keskim. työttömyysaste 2023, %]]/$F$12</f>
        <v>0.79003228710384099</v>
      </c>
      <c r="H76" s="166">
        <v>0</v>
      </c>
      <c r="I76" s="383">
        <v>49</v>
      </c>
      <c r="J76" s="389">
        <v>472</v>
      </c>
      <c r="K76" s="269">
        <v>924.07</v>
      </c>
      <c r="L76" s="170">
        <f t="shared" si="2"/>
        <v>13.388596102026902</v>
      </c>
      <c r="M76" s="377">
        <v>1.3764280682135026</v>
      </c>
      <c r="N76" s="166">
        <v>0</v>
      </c>
      <c r="O76" s="397">
        <v>0</v>
      </c>
      <c r="P76" s="269">
        <v>3416</v>
      </c>
      <c r="Q76" s="15">
        <v>411</v>
      </c>
      <c r="R76" s="158">
        <v>0.12031615925058547</v>
      </c>
      <c r="S76" s="401">
        <v>0.86084462059675726</v>
      </c>
      <c r="T76" s="153">
        <v>571</v>
      </c>
      <c r="U76" s="197">
        <v>674816.25364560378</v>
      </c>
      <c r="V76" s="159">
        <v>0</v>
      </c>
      <c r="W76" s="159">
        <v>0</v>
      </c>
      <c r="X76" s="159">
        <v>835963.91999999993</v>
      </c>
      <c r="Y76" s="159">
        <v>704837.26600081136</v>
      </c>
      <c r="Z76" s="159">
        <v>0</v>
      </c>
      <c r="AA76" s="155">
        <v>0</v>
      </c>
      <c r="AB76" s="159">
        <v>301831.47576829407</v>
      </c>
      <c r="AC76" s="159">
        <v>482255.18000000005</v>
      </c>
      <c r="AD76" s="174">
        <f>SUM(Muut[[#This Row],[Työttömyysaste]:[Työttömät ja palveluissa olevat ]])</f>
        <v>2999704.0954147093</v>
      </c>
      <c r="AF76" s="62"/>
    </row>
    <row r="77" spans="1:32" s="45" customFormat="1">
      <c r="A77" s="90">
        <v>211</v>
      </c>
      <c r="B77" s="151" t="s">
        <v>76</v>
      </c>
      <c r="C77" s="395">
        <v>33473</v>
      </c>
      <c r="D77" s="134">
        <v>1102.9166666666667</v>
      </c>
      <c r="E77" s="41">
        <v>15904</v>
      </c>
      <c r="F77" s="332">
        <f t="shared" ref="F77:F140" si="3">D77/E77</f>
        <v>6.934838195841718E-2</v>
      </c>
      <c r="G77" s="377">
        <f>Muut[[#This Row],[Keskim. työttömyysaste 2023, %]]/$F$12</f>
        <v>0.70575087263283953</v>
      </c>
      <c r="H77" s="166">
        <v>0</v>
      </c>
      <c r="I77" s="383">
        <v>76</v>
      </c>
      <c r="J77" s="389">
        <v>1132</v>
      </c>
      <c r="K77" s="269">
        <v>658.01</v>
      </c>
      <c r="L77" s="170">
        <f t="shared" si="2"/>
        <v>50.870047567666148</v>
      </c>
      <c r="M77" s="377">
        <v>0.36226503315709779</v>
      </c>
      <c r="N77" s="166">
        <v>0</v>
      </c>
      <c r="O77" s="397">
        <v>0</v>
      </c>
      <c r="P77" s="269">
        <v>11216</v>
      </c>
      <c r="Q77" s="15">
        <v>881</v>
      </c>
      <c r="R77" s="158">
        <v>7.8548502139800289E-2</v>
      </c>
      <c r="S77" s="401">
        <v>0.56200310867761449</v>
      </c>
      <c r="T77" s="153">
        <v>1486</v>
      </c>
      <c r="U77" s="197">
        <v>1630973.2721734794</v>
      </c>
      <c r="V77" s="159">
        <v>0</v>
      </c>
      <c r="W77" s="159">
        <v>0</v>
      </c>
      <c r="X77" s="159">
        <v>2004896.5199999998</v>
      </c>
      <c r="Y77" s="159">
        <v>501899.17365696729</v>
      </c>
      <c r="Z77" s="159">
        <v>0</v>
      </c>
      <c r="AA77" s="155">
        <v>0</v>
      </c>
      <c r="AB77" s="159">
        <v>533130.09780874243</v>
      </c>
      <c r="AC77" s="159">
        <v>1255045.8800000001</v>
      </c>
      <c r="AD77" s="174">
        <f>SUM(Muut[[#This Row],[Työttömyysaste]:[Työttömät ja palveluissa olevat ]])</f>
        <v>5925944.943639189</v>
      </c>
      <c r="AF77" s="62"/>
    </row>
    <row r="78" spans="1:32" s="45" customFormat="1">
      <c r="A78" s="90">
        <v>213</v>
      </c>
      <c r="B78" s="151" t="s">
        <v>77</v>
      </c>
      <c r="C78" s="395">
        <v>5114</v>
      </c>
      <c r="D78" s="134">
        <v>185.16666666666666</v>
      </c>
      <c r="E78" s="41">
        <v>2037</v>
      </c>
      <c r="F78" s="332">
        <f t="shared" si="3"/>
        <v>9.0901652757322857E-2</v>
      </c>
      <c r="G78" s="377">
        <f>Muut[[#This Row],[Keskim. työttömyysaste 2023, %]]/$F$12</f>
        <v>0.92509614421452646</v>
      </c>
      <c r="H78" s="166">
        <v>0</v>
      </c>
      <c r="I78" s="383">
        <v>10</v>
      </c>
      <c r="J78" s="389">
        <v>143</v>
      </c>
      <c r="K78" s="269">
        <v>1068.8900000000001</v>
      </c>
      <c r="L78" s="170">
        <f t="shared" ref="L78:L141" si="4">C78/K78</f>
        <v>4.7844025110161006</v>
      </c>
      <c r="M78" s="377">
        <v>3.8517744747378977</v>
      </c>
      <c r="N78" s="166">
        <v>0</v>
      </c>
      <c r="O78" s="397">
        <v>0</v>
      </c>
      <c r="P78" s="269">
        <v>1160</v>
      </c>
      <c r="Q78" s="15">
        <v>156</v>
      </c>
      <c r="R78" s="158">
        <v>0.13448275862068965</v>
      </c>
      <c r="S78" s="401">
        <v>0.9622045786926956</v>
      </c>
      <c r="T78" s="153">
        <v>312</v>
      </c>
      <c r="U78" s="197">
        <v>326624.2136916637</v>
      </c>
      <c r="V78" s="159">
        <v>0</v>
      </c>
      <c r="W78" s="159">
        <v>0</v>
      </c>
      <c r="X78" s="159">
        <v>253268.72999999998</v>
      </c>
      <c r="Y78" s="159">
        <v>815299.17133507971</v>
      </c>
      <c r="Z78" s="159">
        <v>0</v>
      </c>
      <c r="AA78" s="155">
        <v>0</v>
      </c>
      <c r="AB78" s="159">
        <v>139453.04086541219</v>
      </c>
      <c r="AC78" s="159">
        <v>263508.96000000002</v>
      </c>
      <c r="AD78" s="174">
        <f>SUM(Muut[[#This Row],[Työttömyysaste]:[Työttömät ja palveluissa olevat ]])</f>
        <v>1798154.1158921556</v>
      </c>
      <c r="AF78" s="62"/>
    </row>
    <row r="79" spans="1:32" s="45" customFormat="1">
      <c r="A79" s="90">
        <v>214</v>
      </c>
      <c r="B79" s="151" t="s">
        <v>78</v>
      </c>
      <c r="C79" s="395">
        <v>12394</v>
      </c>
      <c r="D79" s="134">
        <v>509.5</v>
      </c>
      <c r="E79" s="41">
        <v>5409</v>
      </c>
      <c r="F79" s="332">
        <f t="shared" si="3"/>
        <v>9.4194860417822143E-2</v>
      </c>
      <c r="G79" s="377">
        <f>Muut[[#This Row],[Keskim. työttömyysaste 2023, %]]/$F$12</f>
        <v>0.95861075716616184</v>
      </c>
      <c r="H79" s="166">
        <v>0</v>
      </c>
      <c r="I79" s="383">
        <v>13</v>
      </c>
      <c r="J79" s="389">
        <v>636</v>
      </c>
      <c r="K79" s="269">
        <v>1021.24</v>
      </c>
      <c r="L79" s="170">
        <f t="shared" si="4"/>
        <v>12.136226548117975</v>
      </c>
      <c r="M79" s="377">
        <v>1.5184653480007351</v>
      </c>
      <c r="N79" s="166">
        <v>0</v>
      </c>
      <c r="O79" s="397">
        <v>0</v>
      </c>
      <c r="P79" s="269">
        <v>3272</v>
      </c>
      <c r="Q79" s="15">
        <v>533</v>
      </c>
      <c r="R79" s="158">
        <v>0.16289731051344744</v>
      </c>
      <c r="S79" s="401">
        <v>1.1655065648590213</v>
      </c>
      <c r="T79" s="153">
        <v>841</v>
      </c>
      <c r="U79" s="197">
        <v>820265.73984687414</v>
      </c>
      <c r="V79" s="159">
        <v>0</v>
      </c>
      <c r="W79" s="159">
        <v>0</v>
      </c>
      <c r="X79" s="159">
        <v>1126425.96</v>
      </c>
      <c r="Y79" s="159">
        <v>778953.98566198279</v>
      </c>
      <c r="Z79" s="159">
        <v>0</v>
      </c>
      <c r="AA79" s="155">
        <v>0</v>
      </c>
      <c r="AB79" s="159">
        <v>409379.47226020921</v>
      </c>
      <c r="AC79" s="159">
        <v>710291.78</v>
      </c>
      <c r="AD79" s="174">
        <f>SUM(Muut[[#This Row],[Työttömyysaste]:[Työttömät ja palveluissa olevat ]])</f>
        <v>3845316.9377690656</v>
      </c>
      <c r="AF79" s="62"/>
    </row>
    <row r="80" spans="1:32" s="45" customFormat="1">
      <c r="A80" s="90">
        <v>216</v>
      </c>
      <c r="B80" s="151" t="s">
        <v>79</v>
      </c>
      <c r="C80" s="395">
        <v>1217</v>
      </c>
      <c r="D80" s="134">
        <v>61.833333333333336</v>
      </c>
      <c r="E80" s="41">
        <v>497</v>
      </c>
      <c r="F80" s="332">
        <f t="shared" si="3"/>
        <v>0.12441314553990611</v>
      </c>
      <c r="G80" s="377">
        <f>Muut[[#This Row],[Keskim. työttömyysaste 2023, %]]/$F$12</f>
        <v>1.266138928582859</v>
      </c>
      <c r="H80" s="166">
        <v>0</v>
      </c>
      <c r="I80" s="383">
        <v>1</v>
      </c>
      <c r="J80" s="389">
        <v>19</v>
      </c>
      <c r="K80" s="269">
        <v>445</v>
      </c>
      <c r="L80" s="170">
        <f t="shared" si="4"/>
        <v>2.7348314606741573</v>
      </c>
      <c r="M80" s="377">
        <v>6.7384187046981561</v>
      </c>
      <c r="N80" s="166">
        <v>0</v>
      </c>
      <c r="O80" s="397">
        <v>0</v>
      </c>
      <c r="P80" s="269">
        <v>256</v>
      </c>
      <c r="Q80" s="15">
        <v>44</v>
      </c>
      <c r="R80" s="158">
        <v>0.171875</v>
      </c>
      <c r="S80" s="401">
        <v>1.2297406274157447</v>
      </c>
      <c r="T80" s="153">
        <v>84</v>
      </c>
      <c r="U80" s="197">
        <v>106383.11989293185</v>
      </c>
      <c r="V80" s="159">
        <v>0</v>
      </c>
      <c r="W80" s="159">
        <v>0</v>
      </c>
      <c r="X80" s="159">
        <v>33651.089999999997</v>
      </c>
      <c r="Y80" s="159">
        <v>339425.13377813483</v>
      </c>
      <c r="Z80" s="159">
        <v>0</v>
      </c>
      <c r="AA80" s="155">
        <v>0</v>
      </c>
      <c r="AB80" s="159">
        <v>42413.483696631003</v>
      </c>
      <c r="AC80" s="159">
        <v>70944.72</v>
      </c>
      <c r="AD80" s="174">
        <f>SUM(Muut[[#This Row],[Työttömyysaste]:[Työttömät ja palveluissa olevat ]])</f>
        <v>592817.5473676977</v>
      </c>
      <c r="AF80" s="62"/>
    </row>
    <row r="81" spans="1:32" s="45" customFormat="1">
      <c r="A81" s="90">
        <v>217</v>
      </c>
      <c r="B81" s="151" t="s">
        <v>80</v>
      </c>
      <c r="C81" s="395">
        <v>5246</v>
      </c>
      <c r="D81" s="134">
        <v>200.75</v>
      </c>
      <c r="E81" s="41">
        <v>2404</v>
      </c>
      <c r="F81" s="332">
        <f t="shared" si="3"/>
        <v>8.3506655574043256E-2</v>
      </c>
      <c r="G81" s="377">
        <f>Muut[[#This Row],[Keskim. työttömyysaste 2023, %]]/$F$12</f>
        <v>0.84983806943570306</v>
      </c>
      <c r="H81" s="166">
        <v>0</v>
      </c>
      <c r="I81" s="383">
        <v>19</v>
      </c>
      <c r="J81" s="389">
        <v>146</v>
      </c>
      <c r="K81" s="269">
        <v>468.02</v>
      </c>
      <c r="L81" s="170">
        <f t="shared" si="4"/>
        <v>11.2089226956113</v>
      </c>
      <c r="M81" s="377">
        <v>1.6440865879126032</v>
      </c>
      <c r="N81" s="166">
        <v>0</v>
      </c>
      <c r="O81" s="397">
        <v>0</v>
      </c>
      <c r="P81" s="269">
        <v>1436</v>
      </c>
      <c r="Q81" s="15">
        <v>199</v>
      </c>
      <c r="R81" s="158">
        <v>0.13857938718662952</v>
      </c>
      <c r="S81" s="401">
        <v>0.99151536026632847</v>
      </c>
      <c r="T81" s="153">
        <v>280</v>
      </c>
      <c r="U81" s="197">
        <v>307797.61536640959</v>
      </c>
      <c r="V81" s="159">
        <v>0</v>
      </c>
      <c r="W81" s="159">
        <v>0</v>
      </c>
      <c r="X81" s="159">
        <v>258582.06</v>
      </c>
      <c r="Y81" s="159">
        <v>356983.7103614441</v>
      </c>
      <c r="Z81" s="159">
        <v>0</v>
      </c>
      <c r="AA81" s="155">
        <v>0</v>
      </c>
      <c r="AB81" s="159">
        <v>147410.21469598589</v>
      </c>
      <c r="AC81" s="159">
        <v>236482.40000000002</v>
      </c>
      <c r="AD81" s="174">
        <f>SUM(Muut[[#This Row],[Työttömyysaste]:[Työttömät ja palveluissa olevat ]])</f>
        <v>1307256.0004238398</v>
      </c>
      <c r="AF81" s="62"/>
    </row>
    <row r="82" spans="1:32" s="45" customFormat="1">
      <c r="A82" s="90">
        <v>218</v>
      </c>
      <c r="B82" s="151" t="s">
        <v>81</v>
      </c>
      <c r="C82" s="395">
        <v>1188</v>
      </c>
      <c r="D82" s="134">
        <v>33.833333333333336</v>
      </c>
      <c r="E82" s="41">
        <v>514</v>
      </c>
      <c r="F82" s="332">
        <f t="shared" si="3"/>
        <v>6.5823605706874191E-2</v>
      </c>
      <c r="G82" s="377">
        <f>Muut[[#This Row],[Keskim. työttömyysaste 2023, %]]/$F$12</f>
        <v>0.66987961154337961</v>
      </c>
      <c r="H82" s="166">
        <v>0</v>
      </c>
      <c r="I82" s="383">
        <v>20</v>
      </c>
      <c r="J82" s="389">
        <v>27</v>
      </c>
      <c r="K82" s="269">
        <v>185.58</v>
      </c>
      <c r="L82" s="170">
        <f t="shared" si="4"/>
        <v>6.4015518913676042</v>
      </c>
      <c r="M82" s="377">
        <v>2.8787456200510055</v>
      </c>
      <c r="N82" s="166">
        <v>0</v>
      </c>
      <c r="O82" s="397">
        <v>0</v>
      </c>
      <c r="P82" s="269">
        <v>280</v>
      </c>
      <c r="Q82" s="15">
        <v>46</v>
      </c>
      <c r="R82" s="158">
        <v>0.16428571428571428</v>
      </c>
      <c r="S82" s="401">
        <v>1.1754403919194651</v>
      </c>
      <c r="T82" s="153">
        <v>48</v>
      </c>
      <c r="U82" s="197">
        <v>54943.204196574457</v>
      </c>
      <c r="V82" s="159">
        <v>0</v>
      </c>
      <c r="W82" s="159">
        <v>0</v>
      </c>
      <c r="X82" s="159">
        <v>47819.969999999994</v>
      </c>
      <c r="Y82" s="159">
        <v>141551.72208212642</v>
      </c>
      <c r="Z82" s="159">
        <v>0</v>
      </c>
      <c r="AA82" s="155">
        <v>0</v>
      </c>
      <c r="AB82" s="159">
        <v>39574.633079913197</v>
      </c>
      <c r="AC82" s="159">
        <v>40539.840000000004</v>
      </c>
      <c r="AD82" s="174">
        <f>SUM(Muut[[#This Row],[Työttömyysaste]:[Työttömät ja palveluissa olevat ]])</f>
        <v>324429.36935861409</v>
      </c>
      <c r="AF82" s="62"/>
    </row>
    <row r="83" spans="1:32" s="45" customFormat="1">
      <c r="A83" s="90">
        <v>224</v>
      </c>
      <c r="B83" s="151" t="s">
        <v>82</v>
      </c>
      <c r="C83" s="395">
        <v>8581</v>
      </c>
      <c r="D83" s="134">
        <v>425.66666666666669</v>
      </c>
      <c r="E83" s="41">
        <v>3980</v>
      </c>
      <c r="F83" s="332">
        <f t="shared" si="3"/>
        <v>0.10695142378559465</v>
      </c>
      <c r="G83" s="377">
        <f>Muut[[#This Row],[Keskim. työttömyysaste 2023, %]]/$F$12</f>
        <v>1.0884329026056896</v>
      </c>
      <c r="H83" s="166">
        <v>0</v>
      </c>
      <c r="I83" s="383">
        <v>59</v>
      </c>
      <c r="J83" s="389">
        <v>766</v>
      </c>
      <c r="K83" s="269">
        <v>242.44</v>
      </c>
      <c r="L83" s="170">
        <f t="shared" si="4"/>
        <v>35.394324368916024</v>
      </c>
      <c r="M83" s="377">
        <v>0.52066086293168323</v>
      </c>
      <c r="N83" s="166">
        <v>0</v>
      </c>
      <c r="O83" s="397">
        <v>0</v>
      </c>
      <c r="P83" s="269">
        <v>2628</v>
      </c>
      <c r="Q83" s="15">
        <v>593</v>
      </c>
      <c r="R83" s="158">
        <v>0.2256468797564688</v>
      </c>
      <c r="S83" s="401">
        <v>1.6144706064647276</v>
      </c>
      <c r="T83" s="153">
        <v>631</v>
      </c>
      <c r="U83" s="197">
        <v>644822.74258039065</v>
      </c>
      <c r="V83" s="159">
        <v>0</v>
      </c>
      <c r="W83" s="159">
        <v>0</v>
      </c>
      <c r="X83" s="159">
        <v>1356670.26</v>
      </c>
      <c r="Y83" s="159">
        <v>184921.86389476628</v>
      </c>
      <c r="Z83" s="159">
        <v>0</v>
      </c>
      <c r="AA83" s="155">
        <v>0</v>
      </c>
      <c r="AB83" s="159">
        <v>392615.90624725231</v>
      </c>
      <c r="AC83" s="159">
        <v>532929.98</v>
      </c>
      <c r="AD83" s="174">
        <f>SUM(Muut[[#This Row],[Työttömyysaste]:[Työttömät ja palveluissa olevat ]])</f>
        <v>3111960.7527224091</v>
      </c>
      <c r="AF83" s="62"/>
    </row>
    <row r="84" spans="1:32" s="45" customFormat="1">
      <c r="A84" s="90">
        <v>226</v>
      </c>
      <c r="B84" s="151" t="s">
        <v>83</v>
      </c>
      <c r="C84" s="395">
        <v>3625</v>
      </c>
      <c r="D84" s="134">
        <v>160.5</v>
      </c>
      <c r="E84" s="41">
        <v>1478</v>
      </c>
      <c r="F84" s="332">
        <f t="shared" si="3"/>
        <v>0.10859269282814614</v>
      </c>
      <c r="G84" s="377">
        <f>Muut[[#This Row],[Keskim. työttömyysaste 2023, %]]/$F$12</f>
        <v>1.1051359175325632</v>
      </c>
      <c r="H84" s="166">
        <v>0</v>
      </c>
      <c r="I84" s="383">
        <v>2</v>
      </c>
      <c r="J84" s="389">
        <v>84</v>
      </c>
      <c r="K84" s="269">
        <v>887.06</v>
      </c>
      <c r="L84" s="170">
        <f t="shared" si="4"/>
        <v>4.0865330417333663</v>
      </c>
      <c r="M84" s="377">
        <v>4.5095535214336628</v>
      </c>
      <c r="N84" s="166">
        <v>0</v>
      </c>
      <c r="O84" s="397">
        <v>0</v>
      </c>
      <c r="P84" s="269">
        <v>852</v>
      </c>
      <c r="Q84" s="15">
        <v>104</v>
      </c>
      <c r="R84" s="158">
        <v>0.12206572769953052</v>
      </c>
      <c r="S84" s="401">
        <v>0.87336252839086614</v>
      </c>
      <c r="T84" s="153">
        <v>237</v>
      </c>
      <c r="U84" s="197">
        <v>276582.36608087464</v>
      </c>
      <c r="V84" s="159">
        <v>0</v>
      </c>
      <c r="W84" s="159">
        <v>0</v>
      </c>
      <c r="X84" s="159">
        <v>148773.24</v>
      </c>
      <c r="Y84" s="159">
        <v>676607.77341400506</v>
      </c>
      <c r="Z84" s="159">
        <v>0</v>
      </c>
      <c r="AA84" s="155">
        <v>0</v>
      </c>
      <c r="AB84" s="159">
        <v>89722.715947914665</v>
      </c>
      <c r="AC84" s="159">
        <v>200165.46000000002</v>
      </c>
      <c r="AD84" s="174">
        <f>SUM(Muut[[#This Row],[Työttömyysaste]:[Työttömät ja palveluissa olevat ]])</f>
        <v>1391851.5554427942</v>
      </c>
      <c r="AF84" s="62"/>
    </row>
    <row r="85" spans="1:32" s="45" customFormat="1">
      <c r="A85" s="90">
        <v>230</v>
      </c>
      <c r="B85" s="151" t="s">
        <v>84</v>
      </c>
      <c r="C85" s="395">
        <v>2216</v>
      </c>
      <c r="D85" s="134">
        <v>78</v>
      </c>
      <c r="E85" s="41">
        <v>942</v>
      </c>
      <c r="F85" s="332">
        <f t="shared" si="3"/>
        <v>8.2802547770700632E-2</v>
      </c>
      <c r="G85" s="377">
        <f>Muut[[#This Row],[Keskim. työttömyysaste 2023, %]]/$F$12</f>
        <v>0.8426724415925817</v>
      </c>
      <c r="H85" s="166">
        <v>0</v>
      </c>
      <c r="I85" s="383">
        <v>1</v>
      </c>
      <c r="J85" s="389">
        <v>109</v>
      </c>
      <c r="K85" s="269">
        <v>502.22</v>
      </c>
      <c r="L85" s="170">
        <f t="shared" si="4"/>
        <v>4.4124089044641792</v>
      </c>
      <c r="M85" s="377">
        <v>4.1765031001907058</v>
      </c>
      <c r="N85" s="166">
        <v>0</v>
      </c>
      <c r="O85" s="397">
        <v>0</v>
      </c>
      <c r="P85" s="269">
        <v>573</v>
      </c>
      <c r="Q85" s="15">
        <v>122</v>
      </c>
      <c r="R85" s="158">
        <v>0.21291448516579406</v>
      </c>
      <c r="S85" s="401">
        <v>1.5233721749741607</v>
      </c>
      <c r="T85" s="153">
        <v>134</v>
      </c>
      <c r="U85" s="197">
        <v>128922.68149449489</v>
      </c>
      <c r="V85" s="159">
        <v>0</v>
      </c>
      <c r="W85" s="159">
        <v>0</v>
      </c>
      <c r="X85" s="159">
        <v>193050.99</v>
      </c>
      <c r="Y85" s="159">
        <v>383069.8667102356</v>
      </c>
      <c r="Z85" s="159">
        <v>0</v>
      </c>
      <c r="AA85" s="155">
        <v>0</v>
      </c>
      <c r="AB85" s="159">
        <v>95669.966244309253</v>
      </c>
      <c r="AC85" s="159">
        <v>113173.72</v>
      </c>
      <c r="AD85" s="174">
        <f>SUM(Muut[[#This Row],[Työttömyysaste]:[Työttömät ja palveluissa olevat ]])</f>
        <v>913887.22444903967</v>
      </c>
      <c r="AF85" s="62"/>
    </row>
    <row r="86" spans="1:32" s="45" customFormat="1">
      <c r="A86" s="90">
        <v>231</v>
      </c>
      <c r="B86" s="151" t="s">
        <v>85</v>
      </c>
      <c r="C86" s="395">
        <v>1208</v>
      </c>
      <c r="D86" s="134">
        <v>45.75</v>
      </c>
      <c r="E86" s="41">
        <v>511</v>
      </c>
      <c r="F86" s="332">
        <f t="shared" si="3"/>
        <v>8.9530332681017608E-2</v>
      </c>
      <c r="G86" s="377">
        <f>Muut[[#This Row],[Keskim. työttömyysaste 2023, %]]/$F$12</f>
        <v>0.91114037029190376</v>
      </c>
      <c r="H86" s="166">
        <v>1</v>
      </c>
      <c r="I86" s="383">
        <v>332</v>
      </c>
      <c r="J86" s="389">
        <v>166</v>
      </c>
      <c r="K86" s="269">
        <v>10.64</v>
      </c>
      <c r="L86" s="170">
        <f t="shared" si="4"/>
        <v>113.53383458646616</v>
      </c>
      <c r="M86" s="377">
        <v>0.16231671850005927</v>
      </c>
      <c r="N86" s="166">
        <v>0</v>
      </c>
      <c r="O86" s="397">
        <v>0</v>
      </c>
      <c r="P86" s="269">
        <v>293</v>
      </c>
      <c r="Q86" s="15">
        <v>91</v>
      </c>
      <c r="R86" s="158">
        <v>0.31058020477815701</v>
      </c>
      <c r="S86" s="401">
        <v>2.2221561942504802</v>
      </c>
      <c r="T86" s="153">
        <v>62</v>
      </c>
      <c r="U86" s="197">
        <v>75989.398447263273</v>
      </c>
      <c r="V86" s="159">
        <v>24779.462400000004</v>
      </c>
      <c r="W86" s="159">
        <v>90479.030400000018</v>
      </c>
      <c r="X86" s="159">
        <v>294004.26</v>
      </c>
      <c r="Y86" s="159">
        <v>8115.6930862906838</v>
      </c>
      <c r="Z86" s="159">
        <v>0</v>
      </c>
      <c r="AA86" s="155">
        <v>0</v>
      </c>
      <c r="AB86" s="159">
        <v>76074.895106430806</v>
      </c>
      <c r="AC86" s="159">
        <v>52363.96</v>
      </c>
      <c r="AD86" s="174">
        <f>SUM(Muut[[#This Row],[Työttömyysaste]:[Työttömät ja palveluissa olevat ]])</f>
        <v>621806.69943998475</v>
      </c>
      <c r="AF86" s="62"/>
    </row>
    <row r="87" spans="1:32" s="45" customFormat="1">
      <c r="A87" s="90">
        <v>232</v>
      </c>
      <c r="B87" s="151" t="s">
        <v>86</v>
      </c>
      <c r="C87" s="395">
        <v>12618</v>
      </c>
      <c r="D87" s="134">
        <v>425.91666666666669</v>
      </c>
      <c r="E87" s="41">
        <v>5586</v>
      </c>
      <c r="F87" s="332">
        <f t="shared" si="3"/>
        <v>7.6247165532879815E-2</v>
      </c>
      <c r="G87" s="377">
        <f>Muut[[#This Row],[Keskim. työttömyysaste 2023, %]]/$F$12</f>
        <v>0.77595903597112126</v>
      </c>
      <c r="H87" s="166">
        <v>0</v>
      </c>
      <c r="I87" s="383">
        <v>47</v>
      </c>
      <c r="J87" s="389">
        <v>443</v>
      </c>
      <c r="K87" s="269">
        <v>1299.01</v>
      </c>
      <c r="L87" s="170">
        <f t="shared" si="4"/>
        <v>9.7135510889061667</v>
      </c>
      <c r="M87" s="377">
        <v>1.8971887109185863</v>
      </c>
      <c r="N87" s="166">
        <v>0</v>
      </c>
      <c r="O87" s="397">
        <v>0</v>
      </c>
      <c r="P87" s="269">
        <v>3429</v>
      </c>
      <c r="Q87" s="15">
        <v>520</v>
      </c>
      <c r="R87" s="158">
        <v>0.15164771070282881</v>
      </c>
      <c r="S87" s="401">
        <v>1.085017314361356</v>
      </c>
      <c r="T87" s="153">
        <v>694</v>
      </c>
      <c r="U87" s="197">
        <v>675974.16904060438</v>
      </c>
      <c r="V87" s="159">
        <v>0</v>
      </c>
      <c r="W87" s="159">
        <v>0</v>
      </c>
      <c r="X87" s="159">
        <v>784601.73</v>
      </c>
      <c r="Y87" s="159">
        <v>990823.91691940418</v>
      </c>
      <c r="Z87" s="159">
        <v>0</v>
      </c>
      <c r="AA87" s="155">
        <v>0</v>
      </c>
      <c r="AB87" s="159">
        <v>387995.81171381241</v>
      </c>
      <c r="AC87" s="159">
        <v>586138.52</v>
      </c>
      <c r="AD87" s="174">
        <f>SUM(Muut[[#This Row],[Työttömyysaste]:[Työttömät ja palveluissa olevat ]])</f>
        <v>3425534.1476738211</v>
      </c>
      <c r="AF87" s="62"/>
    </row>
    <row r="88" spans="1:32" s="45" customFormat="1">
      <c r="A88" s="90">
        <v>233</v>
      </c>
      <c r="B88" s="151" t="s">
        <v>87</v>
      </c>
      <c r="C88" s="395">
        <v>15165</v>
      </c>
      <c r="D88" s="134">
        <v>392.16666666666669</v>
      </c>
      <c r="E88" s="41">
        <v>6481</v>
      </c>
      <c r="F88" s="332">
        <f t="shared" si="3"/>
        <v>6.0510209329835932E-2</v>
      </c>
      <c r="G88" s="377">
        <f>Muut[[#This Row],[Keskim. työttömyysaste 2023, %]]/$F$12</f>
        <v>0.6158057597268014</v>
      </c>
      <c r="H88" s="166">
        <v>0</v>
      </c>
      <c r="I88" s="383">
        <v>104</v>
      </c>
      <c r="J88" s="389">
        <v>812</v>
      </c>
      <c r="K88" s="269">
        <v>1313.85</v>
      </c>
      <c r="L88" s="170">
        <f t="shared" si="4"/>
        <v>11.542413517524832</v>
      </c>
      <c r="M88" s="377">
        <v>1.5965845826632223</v>
      </c>
      <c r="N88" s="166">
        <v>0</v>
      </c>
      <c r="O88" s="397">
        <v>0</v>
      </c>
      <c r="P88" s="269">
        <v>4075</v>
      </c>
      <c r="Q88" s="15">
        <v>533</v>
      </c>
      <c r="R88" s="158">
        <v>0.13079754601226995</v>
      </c>
      <c r="S88" s="401">
        <v>0.93583741845858093</v>
      </c>
      <c r="T88" s="153">
        <v>584</v>
      </c>
      <c r="U88" s="197">
        <v>644743.45766557939</v>
      </c>
      <c r="V88" s="159">
        <v>0</v>
      </c>
      <c r="W88" s="159">
        <v>0</v>
      </c>
      <c r="X88" s="159">
        <v>1438141.3199999998</v>
      </c>
      <c r="Y88" s="159">
        <v>1002143.1730660726</v>
      </c>
      <c r="Z88" s="159">
        <v>0</v>
      </c>
      <c r="AA88" s="155">
        <v>0</v>
      </c>
      <c r="AB88" s="159">
        <v>402200.5559391969</v>
      </c>
      <c r="AC88" s="159">
        <v>493234.72000000003</v>
      </c>
      <c r="AD88" s="174">
        <f>SUM(Muut[[#This Row],[Työttömyysaste]:[Työttömät ja palveluissa olevat ]])</f>
        <v>3980463.2266708491</v>
      </c>
      <c r="AF88" s="62"/>
    </row>
    <row r="89" spans="1:32" s="45" customFormat="1">
      <c r="A89" s="90">
        <v>235</v>
      </c>
      <c r="B89" s="151" t="s">
        <v>88</v>
      </c>
      <c r="C89" s="395">
        <v>10270</v>
      </c>
      <c r="D89" s="134">
        <v>262.83333333333331</v>
      </c>
      <c r="E89" s="41">
        <v>4783</v>
      </c>
      <c r="F89" s="332">
        <f t="shared" si="3"/>
        <v>5.4951564568959506E-2</v>
      </c>
      <c r="G89" s="377">
        <f>Muut[[#This Row],[Keskim. työttömyysaste 2023, %]]/$F$12</f>
        <v>0.55923604202240229</v>
      </c>
      <c r="H89" s="166">
        <v>1</v>
      </c>
      <c r="I89" s="383">
        <v>3124</v>
      </c>
      <c r="J89" s="389">
        <v>1113</v>
      </c>
      <c r="K89" s="269">
        <v>5.89</v>
      </c>
      <c r="L89" s="170">
        <f t="shared" si="4"/>
        <v>1743.6332767402378</v>
      </c>
      <c r="M89" s="377">
        <v>1.0568988166626476E-2</v>
      </c>
      <c r="N89" s="166">
        <v>0</v>
      </c>
      <c r="O89" s="397">
        <v>0</v>
      </c>
      <c r="P89" s="269">
        <v>3209</v>
      </c>
      <c r="Q89" s="15">
        <v>334</v>
      </c>
      <c r="R89" s="158">
        <v>0.10408226861950763</v>
      </c>
      <c r="S89" s="401">
        <v>0.74469349419640674</v>
      </c>
      <c r="T89" s="153">
        <v>365</v>
      </c>
      <c r="U89" s="197">
        <v>396521.17062439775</v>
      </c>
      <c r="V89" s="159">
        <v>210666.45600000003</v>
      </c>
      <c r="W89" s="159">
        <v>851374.97280000011</v>
      </c>
      <c r="X89" s="159">
        <v>1971245.43</v>
      </c>
      <c r="Y89" s="159">
        <v>4492.6158156251995</v>
      </c>
      <c r="Z89" s="159">
        <v>0</v>
      </c>
      <c r="AA89" s="155">
        <v>0</v>
      </c>
      <c r="AB89" s="159">
        <v>216744.38193415373</v>
      </c>
      <c r="AC89" s="159">
        <v>308271.7</v>
      </c>
      <c r="AD89" s="174">
        <f>SUM(Muut[[#This Row],[Työttömyysaste]:[Työttömät ja palveluissa olevat ]])</f>
        <v>3959316.7271741773</v>
      </c>
      <c r="AF89" s="62"/>
    </row>
    <row r="90" spans="1:32" s="45" customFormat="1">
      <c r="A90" s="90">
        <v>236</v>
      </c>
      <c r="B90" s="151" t="s">
        <v>89</v>
      </c>
      <c r="C90" s="395">
        <v>4137</v>
      </c>
      <c r="D90" s="134">
        <v>137.33333333333334</v>
      </c>
      <c r="E90" s="41">
        <v>1951</v>
      </c>
      <c r="F90" s="332">
        <f t="shared" si="3"/>
        <v>7.0391252349222624E-2</v>
      </c>
      <c r="G90" s="377">
        <f>Muut[[#This Row],[Keskim. työttömyysaste 2023, %]]/$F$12</f>
        <v>0.71636405015146165</v>
      </c>
      <c r="H90" s="166">
        <v>0</v>
      </c>
      <c r="I90" s="383">
        <v>76</v>
      </c>
      <c r="J90" s="389">
        <v>122</v>
      </c>
      <c r="K90" s="269">
        <v>353.91</v>
      </c>
      <c r="L90" s="170">
        <f t="shared" si="4"/>
        <v>11.689412562515892</v>
      </c>
      <c r="M90" s="377">
        <v>1.5765068920484229</v>
      </c>
      <c r="N90" s="166">
        <v>0</v>
      </c>
      <c r="O90" s="397">
        <v>0</v>
      </c>
      <c r="P90" s="269">
        <v>1256</v>
      </c>
      <c r="Q90" s="15">
        <v>120</v>
      </c>
      <c r="R90" s="158">
        <v>9.5541401273885357E-2</v>
      </c>
      <c r="S90" s="401">
        <v>0.68358483052641295</v>
      </c>
      <c r="T90" s="153">
        <v>199</v>
      </c>
      <c r="U90" s="197">
        <v>204606.81113090427</v>
      </c>
      <c r="V90" s="159">
        <v>0</v>
      </c>
      <c r="W90" s="159">
        <v>0</v>
      </c>
      <c r="X90" s="159">
        <v>216075.41999999998</v>
      </c>
      <c r="Y90" s="159">
        <v>269945.95302341506</v>
      </c>
      <c r="Z90" s="159">
        <v>0</v>
      </c>
      <c r="AA90" s="155">
        <v>0</v>
      </c>
      <c r="AB90" s="159">
        <v>80145.249179779406</v>
      </c>
      <c r="AC90" s="159">
        <v>168071.42</v>
      </c>
      <c r="AD90" s="174">
        <f>SUM(Muut[[#This Row],[Työttömyysaste]:[Työttömät ja palveluissa olevat ]])</f>
        <v>938844.85333409882</v>
      </c>
      <c r="AF90" s="62"/>
    </row>
    <row r="91" spans="1:32" s="45" customFormat="1">
      <c r="A91" s="90">
        <v>239</v>
      </c>
      <c r="B91" s="151" t="s">
        <v>90</v>
      </c>
      <c r="C91" s="395">
        <v>2035</v>
      </c>
      <c r="D91" s="134">
        <v>69.583333333333329</v>
      </c>
      <c r="E91" s="41">
        <v>795</v>
      </c>
      <c r="F91" s="332">
        <f t="shared" si="3"/>
        <v>8.7526205450733752E-2</v>
      </c>
      <c r="G91" s="377">
        <f>Muut[[#This Row],[Keskim. työttömyysaste 2023, %]]/$F$12</f>
        <v>0.8907445874099299</v>
      </c>
      <c r="H91" s="166">
        <v>0</v>
      </c>
      <c r="I91" s="383">
        <v>2</v>
      </c>
      <c r="J91" s="389">
        <v>73</v>
      </c>
      <c r="K91" s="269">
        <v>482.89</v>
      </c>
      <c r="L91" s="170">
        <f t="shared" si="4"/>
        <v>4.2142102756321318</v>
      </c>
      <c r="M91" s="377">
        <v>4.3729283219118562</v>
      </c>
      <c r="N91" s="166">
        <v>0</v>
      </c>
      <c r="O91" s="397">
        <v>0</v>
      </c>
      <c r="P91" s="269">
        <v>471</v>
      </c>
      <c r="Q91" s="15">
        <v>79</v>
      </c>
      <c r="R91" s="158">
        <v>0.16772823779193205</v>
      </c>
      <c r="S91" s="401">
        <v>1.200071146924147</v>
      </c>
      <c r="T91" s="153">
        <v>92</v>
      </c>
      <c r="U91" s="197">
        <v>125146.40785058049</v>
      </c>
      <c r="V91" s="159">
        <v>0</v>
      </c>
      <c r="W91" s="159">
        <v>0</v>
      </c>
      <c r="X91" s="159">
        <v>129291.03</v>
      </c>
      <c r="Y91" s="159">
        <v>368325.84910140105</v>
      </c>
      <c r="Z91" s="159">
        <v>0</v>
      </c>
      <c r="AA91" s="155">
        <v>0</v>
      </c>
      <c r="AB91" s="159">
        <v>69210.383178294709</v>
      </c>
      <c r="AC91" s="159">
        <v>77701.36</v>
      </c>
      <c r="AD91" s="174">
        <f>SUM(Muut[[#This Row],[Työttömyysaste]:[Työttömät ja palveluissa olevat ]])</f>
        <v>769675.03013027622</v>
      </c>
      <c r="AF91" s="62"/>
    </row>
    <row r="92" spans="1:32" s="45" customFormat="1">
      <c r="A92" s="90">
        <v>240</v>
      </c>
      <c r="B92" s="151" t="s">
        <v>91</v>
      </c>
      <c r="C92" s="395">
        <v>19371</v>
      </c>
      <c r="D92" s="134">
        <v>1170.25</v>
      </c>
      <c r="E92" s="41">
        <v>8200</v>
      </c>
      <c r="F92" s="332">
        <f t="shared" si="3"/>
        <v>0.14271341463414633</v>
      </c>
      <c r="G92" s="377">
        <f>Muut[[#This Row],[Keskim. työttömyysaste 2023, %]]/$F$12</f>
        <v>1.4523787588130754</v>
      </c>
      <c r="H92" s="166">
        <v>0</v>
      </c>
      <c r="I92" s="383">
        <v>35</v>
      </c>
      <c r="J92" s="389">
        <v>1165</v>
      </c>
      <c r="K92" s="269">
        <v>95.38</v>
      </c>
      <c r="L92" s="170">
        <f t="shared" si="4"/>
        <v>203.09289159152863</v>
      </c>
      <c r="M92" s="377">
        <v>9.0738968382349849E-2</v>
      </c>
      <c r="N92" s="166">
        <v>0</v>
      </c>
      <c r="O92" s="397">
        <v>0</v>
      </c>
      <c r="P92" s="269">
        <v>5334</v>
      </c>
      <c r="Q92" s="15">
        <v>780</v>
      </c>
      <c r="R92" s="158">
        <v>0.14623172103487064</v>
      </c>
      <c r="S92" s="401">
        <v>1.0462666959913076</v>
      </c>
      <c r="T92" s="153">
        <v>1787</v>
      </c>
      <c r="U92" s="197">
        <v>1942373.3578082765</v>
      </c>
      <c r="V92" s="159">
        <v>0</v>
      </c>
      <c r="W92" s="159">
        <v>0</v>
      </c>
      <c r="X92" s="159">
        <v>2063343.15</v>
      </c>
      <c r="Y92" s="159">
        <v>72751.391594962915</v>
      </c>
      <c r="Z92" s="159">
        <v>0</v>
      </c>
      <c r="AA92" s="155">
        <v>0</v>
      </c>
      <c r="AB92" s="159">
        <v>574373.35964246956</v>
      </c>
      <c r="AC92" s="159">
        <v>1509264.46</v>
      </c>
      <c r="AD92" s="174">
        <f>SUM(Muut[[#This Row],[Työttömyysaste]:[Työttömät ja palveluissa olevat ]])</f>
        <v>6162105.7190457089</v>
      </c>
      <c r="AF92" s="62"/>
    </row>
    <row r="93" spans="1:32" s="45" customFormat="1">
      <c r="A93" s="90">
        <v>241</v>
      </c>
      <c r="B93" s="151" t="s">
        <v>92</v>
      </c>
      <c r="C93" s="395">
        <v>7691</v>
      </c>
      <c r="D93" s="134">
        <v>274.16666666666669</v>
      </c>
      <c r="E93" s="41">
        <v>3530</v>
      </c>
      <c r="F93" s="332">
        <f t="shared" si="3"/>
        <v>7.766761095372994E-2</v>
      </c>
      <c r="G93" s="377">
        <f>Muut[[#This Row],[Keskim. työttömyysaste 2023, %]]/$F$12</f>
        <v>0.79041475313397314</v>
      </c>
      <c r="H93" s="166">
        <v>0</v>
      </c>
      <c r="I93" s="383">
        <v>10</v>
      </c>
      <c r="J93" s="389">
        <v>91</v>
      </c>
      <c r="K93" s="269">
        <v>627.27</v>
      </c>
      <c r="L93" s="170">
        <f t="shared" si="4"/>
        <v>12.261067801744066</v>
      </c>
      <c r="M93" s="377">
        <v>1.5030044500840605</v>
      </c>
      <c r="N93" s="166">
        <v>0</v>
      </c>
      <c r="O93" s="397">
        <v>0</v>
      </c>
      <c r="P93" s="269">
        <v>2244</v>
      </c>
      <c r="Q93" s="15">
        <v>186</v>
      </c>
      <c r="R93" s="158">
        <v>8.2887700534759357E-2</v>
      </c>
      <c r="S93" s="401">
        <v>0.59304944209840493</v>
      </c>
      <c r="T93" s="153">
        <v>411</v>
      </c>
      <c r="U93" s="197">
        <v>419699.67397303786</v>
      </c>
      <c r="V93" s="159">
        <v>0</v>
      </c>
      <c r="W93" s="159">
        <v>0</v>
      </c>
      <c r="X93" s="159">
        <v>161171.00999999998</v>
      </c>
      <c r="Y93" s="159">
        <v>478452.14306743949</v>
      </c>
      <c r="Z93" s="159">
        <v>0</v>
      </c>
      <c r="AA93" s="155">
        <v>0</v>
      </c>
      <c r="AB93" s="159">
        <v>129262.79996512811</v>
      </c>
      <c r="AC93" s="159">
        <v>347122.38</v>
      </c>
      <c r="AD93" s="174">
        <f>SUM(Muut[[#This Row],[Työttömyysaste]:[Työttömät ja palveluissa olevat ]])</f>
        <v>1535708.0070056054</v>
      </c>
      <c r="AF93" s="62"/>
    </row>
    <row r="94" spans="1:32" s="45" customFormat="1">
      <c r="A94" s="90">
        <v>244</v>
      </c>
      <c r="B94" s="151" t="s">
        <v>93</v>
      </c>
      <c r="C94" s="395">
        <v>19514</v>
      </c>
      <c r="D94" s="134">
        <v>706.08333333333337</v>
      </c>
      <c r="E94" s="41">
        <v>9119</v>
      </c>
      <c r="F94" s="332">
        <f t="shared" si="3"/>
        <v>7.7429908250173637E-2</v>
      </c>
      <c r="G94" s="377">
        <f>Muut[[#This Row],[Keskim. työttömyysaste 2023, %]]/$F$12</f>
        <v>0.78799567880628885</v>
      </c>
      <c r="H94" s="166">
        <v>0</v>
      </c>
      <c r="I94" s="383">
        <v>26</v>
      </c>
      <c r="J94" s="389">
        <v>271</v>
      </c>
      <c r="K94" s="269">
        <v>110.14</v>
      </c>
      <c r="L94" s="170">
        <f t="shared" si="4"/>
        <v>177.17450517523153</v>
      </c>
      <c r="M94" s="377">
        <v>0.10401293036251111</v>
      </c>
      <c r="N94" s="166">
        <v>0</v>
      </c>
      <c r="O94" s="397">
        <v>0</v>
      </c>
      <c r="P94" s="269">
        <v>6477</v>
      </c>
      <c r="Q94" s="15">
        <v>351</v>
      </c>
      <c r="R94" s="158">
        <v>5.4191755442334413E-2</v>
      </c>
      <c r="S94" s="401">
        <v>0.38773412851442574</v>
      </c>
      <c r="T94" s="153">
        <v>936</v>
      </c>
      <c r="U94" s="197">
        <v>1061624.4675666376</v>
      </c>
      <c r="V94" s="159">
        <v>0</v>
      </c>
      <c r="W94" s="159">
        <v>0</v>
      </c>
      <c r="X94" s="159">
        <v>479970.81</v>
      </c>
      <c r="Y94" s="159">
        <v>84009.62749286239</v>
      </c>
      <c r="Z94" s="159">
        <v>0</v>
      </c>
      <c r="AA94" s="155">
        <v>0</v>
      </c>
      <c r="AB94" s="159">
        <v>214427.34883375649</v>
      </c>
      <c r="AC94" s="159">
        <v>790526.88</v>
      </c>
      <c r="AD94" s="174">
        <f>SUM(Muut[[#This Row],[Työttömyysaste]:[Työttömät ja palveluissa olevat ]])</f>
        <v>2630559.1338932565</v>
      </c>
      <c r="AF94" s="62"/>
    </row>
    <row r="95" spans="1:32" s="45" customFormat="1">
      <c r="A95" s="90">
        <v>245</v>
      </c>
      <c r="B95" s="151" t="s">
        <v>94</v>
      </c>
      <c r="C95" s="395">
        <v>38211</v>
      </c>
      <c r="D95" s="134">
        <v>1908.3333333333333</v>
      </c>
      <c r="E95" s="41">
        <v>18875</v>
      </c>
      <c r="F95" s="332">
        <f t="shared" si="3"/>
        <v>0.1011037527593819</v>
      </c>
      <c r="G95" s="377">
        <f>Muut[[#This Row],[Keskim. työttömyysaste 2023, %]]/$F$12</f>
        <v>1.0289217963178161</v>
      </c>
      <c r="H95" s="166">
        <v>0</v>
      </c>
      <c r="I95" s="383">
        <v>454</v>
      </c>
      <c r="J95" s="389">
        <v>6191</v>
      </c>
      <c r="K95" s="269">
        <v>30.63</v>
      </c>
      <c r="L95" s="170">
        <f t="shared" si="4"/>
        <v>1247.5024485798237</v>
      </c>
      <c r="M95" s="377">
        <v>1.4772267172527751E-2</v>
      </c>
      <c r="N95" s="166">
        <v>0</v>
      </c>
      <c r="O95" s="397">
        <v>0</v>
      </c>
      <c r="P95" s="269">
        <v>13072</v>
      </c>
      <c r="Q95" s="15">
        <v>2591</v>
      </c>
      <c r="R95" s="158">
        <v>0.19820991432068544</v>
      </c>
      <c r="S95" s="401">
        <v>1.4181631092174007</v>
      </c>
      <c r="T95" s="153">
        <v>2753</v>
      </c>
      <c r="U95" s="197">
        <v>2714385.6676082695</v>
      </c>
      <c r="V95" s="159">
        <v>0</v>
      </c>
      <c r="W95" s="159">
        <v>0</v>
      </c>
      <c r="X95" s="159">
        <v>10964942.01</v>
      </c>
      <c r="Y95" s="159">
        <v>23363.127747470266</v>
      </c>
      <c r="Z95" s="159">
        <v>0</v>
      </c>
      <c r="AA95" s="155">
        <v>0</v>
      </c>
      <c r="AB95" s="159">
        <v>1535728.4622491149</v>
      </c>
      <c r="AC95" s="159">
        <v>2325128.7400000002</v>
      </c>
      <c r="AD95" s="174">
        <f>SUM(Muut[[#This Row],[Työttömyysaste]:[Työttömät ja palveluissa olevat ]])</f>
        <v>17563548.007604856</v>
      </c>
      <c r="AF95" s="62"/>
    </row>
    <row r="96" spans="1:32" s="45" customFormat="1">
      <c r="A96" s="90">
        <v>249</v>
      </c>
      <c r="B96" s="151" t="s">
        <v>95</v>
      </c>
      <c r="C96" s="395">
        <v>9184</v>
      </c>
      <c r="D96" s="134">
        <v>396</v>
      </c>
      <c r="E96" s="41">
        <v>3759</v>
      </c>
      <c r="F96" s="332">
        <f t="shared" si="3"/>
        <v>0.10534716679968077</v>
      </c>
      <c r="G96" s="377">
        <f>Muut[[#This Row],[Keskim. työttömyysaste 2023, %]]/$F$12</f>
        <v>1.0721065553173716</v>
      </c>
      <c r="H96" s="166">
        <v>0</v>
      </c>
      <c r="I96" s="383">
        <v>15</v>
      </c>
      <c r="J96" s="389">
        <v>351</v>
      </c>
      <c r="K96" s="269">
        <v>1257.97</v>
      </c>
      <c r="L96" s="170">
        <f t="shared" si="4"/>
        <v>7.3006510489121359</v>
      </c>
      <c r="M96" s="377">
        <v>2.5242186409593876</v>
      </c>
      <c r="N96" s="166">
        <v>0</v>
      </c>
      <c r="O96" s="397">
        <v>0</v>
      </c>
      <c r="P96" s="269">
        <v>2332</v>
      </c>
      <c r="Q96" s="15">
        <v>324</v>
      </c>
      <c r="R96" s="158">
        <v>0.13893653516295026</v>
      </c>
      <c r="S96" s="401">
        <v>0.99407070209312676</v>
      </c>
      <c r="T96" s="153">
        <v>664</v>
      </c>
      <c r="U96" s="197">
        <v>679783.48474255868</v>
      </c>
      <c r="V96" s="159">
        <v>0</v>
      </c>
      <c r="W96" s="159">
        <v>0</v>
      </c>
      <c r="X96" s="159">
        <v>621659.61</v>
      </c>
      <c r="Y96" s="159">
        <v>959520.52930085431</v>
      </c>
      <c r="Z96" s="159">
        <v>0</v>
      </c>
      <c r="AA96" s="155">
        <v>0</v>
      </c>
      <c r="AB96" s="159">
        <v>258731.31459617964</v>
      </c>
      <c r="AC96" s="159">
        <v>560801.12</v>
      </c>
      <c r="AD96" s="174">
        <f>SUM(Muut[[#This Row],[Työttömyysaste]:[Työttömät ja palveluissa olevat ]])</f>
        <v>3080496.0586395925</v>
      </c>
      <c r="AF96" s="62"/>
    </row>
    <row r="97" spans="1:32" s="45" customFormat="1">
      <c r="A97" s="90">
        <v>250</v>
      </c>
      <c r="B97" s="151" t="s">
        <v>96</v>
      </c>
      <c r="C97" s="395">
        <v>1749</v>
      </c>
      <c r="D97" s="134">
        <v>52.083333333333336</v>
      </c>
      <c r="E97" s="41">
        <v>743</v>
      </c>
      <c r="F97" s="332">
        <f t="shared" si="3"/>
        <v>7.0098698968147161E-2</v>
      </c>
      <c r="G97" s="377">
        <f>Muut[[#This Row],[Keskim. työttömyysaste 2023, %]]/$F$12</f>
        <v>0.71338676649818911</v>
      </c>
      <c r="H97" s="166">
        <v>0</v>
      </c>
      <c r="I97" s="383">
        <v>0</v>
      </c>
      <c r="J97" s="389">
        <v>29</v>
      </c>
      <c r="K97" s="269">
        <v>357.21</v>
      </c>
      <c r="L97" s="170">
        <f t="shared" si="4"/>
        <v>4.8962794994541028</v>
      </c>
      <c r="M97" s="377">
        <v>3.7637637865359501</v>
      </c>
      <c r="N97" s="166">
        <v>0</v>
      </c>
      <c r="O97" s="397">
        <v>0</v>
      </c>
      <c r="P97" s="269">
        <v>421</v>
      </c>
      <c r="Q97" s="15">
        <v>84</v>
      </c>
      <c r="R97" s="158">
        <v>0.1995249406175772</v>
      </c>
      <c r="S97" s="401">
        <v>1.4275719311135919</v>
      </c>
      <c r="T97" s="153">
        <v>86</v>
      </c>
      <c r="U97" s="197">
        <v>86142.136905952182</v>
      </c>
      <c r="V97" s="159">
        <v>0</v>
      </c>
      <c r="W97" s="159">
        <v>0</v>
      </c>
      <c r="X97" s="159">
        <v>51362.189999999995</v>
      </c>
      <c r="Y97" s="159">
        <v>272463.03828514047</v>
      </c>
      <c r="Z97" s="159">
        <v>0</v>
      </c>
      <c r="AA97" s="155">
        <v>0</v>
      </c>
      <c r="AB97" s="159">
        <v>70759.972535050823</v>
      </c>
      <c r="AC97" s="159">
        <v>72633.88</v>
      </c>
      <c r="AD97" s="174">
        <f>SUM(Muut[[#This Row],[Työttömyysaste]:[Työttömät ja palveluissa olevat ]])</f>
        <v>553361.21772614354</v>
      </c>
      <c r="AF97" s="62"/>
    </row>
    <row r="98" spans="1:32" s="45" customFormat="1">
      <c r="A98" s="90">
        <v>256</v>
      </c>
      <c r="B98" s="151" t="s">
        <v>97</v>
      </c>
      <c r="C98" s="395">
        <v>1523</v>
      </c>
      <c r="D98" s="134">
        <v>73.5</v>
      </c>
      <c r="E98" s="41">
        <v>580</v>
      </c>
      <c r="F98" s="332">
        <f t="shared" si="3"/>
        <v>0.12672413793103449</v>
      </c>
      <c r="G98" s="377">
        <f>Muut[[#This Row],[Keskim. työttömyysaste 2023, %]]/$F$12</f>
        <v>1.2896576445301855</v>
      </c>
      <c r="H98" s="166">
        <v>0</v>
      </c>
      <c r="I98" s="383">
        <v>1</v>
      </c>
      <c r="J98" s="389">
        <v>15</v>
      </c>
      <c r="K98" s="269">
        <v>460.21</v>
      </c>
      <c r="L98" s="170">
        <f t="shared" si="4"/>
        <v>3.3093587709958499</v>
      </c>
      <c r="M98" s="377">
        <v>5.5685831437545366</v>
      </c>
      <c r="N98" s="166">
        <v>0</v>
      </c>
      <c r="O98" s="397">
        <v>0</v>
      </c>
      <c r="P98" s="269">
        <v>301</v>
      </c>
      <c r="Q98" s="15">
        <v>41</v>
      </c>
      <c r="R98" s="158">
        <v>0.13621262458471761</v>
      </c>
      <c r="S98" s="401">
        <v>0.97458151807276183</v>
      </c>
      <c r="T98" s="153">
        <v>97</v>
      </c>
      <c r="U98" s="197">
        <v>135604.81883444841</v>
      </c>
      <c r="V98" s="159">
        <v>0</v>
      </c>
      <c r="W98" s="159">
        <v>0</v>
      </c>
      <c r="X98" s="159">
        <v>26566.649999999998</v>
      </c>
      <c r="Y98" s="159">
        <v>351026.60857536038</v>
      </c>
      <c r="Z98" s="159">
        <v>0</v>
      </c>
      <c r="AA98" s="155">
        <v>0</v>
      </c>
      <c r="AB98" s="159">
        <v>42064.712058383295</v>
      </c>
      <c r="AC98" s="159">
        <v>81924.260000000009</v>
      </c>
      <c r="AD98" s="174">
        <f>SUM(Muut[[#This Row],[Työttömyysaste]:[Työttömät ja palveluissa olevat ]])</f>
        <v>637187.04946819204</v>
      </c>
      <c r="AF98" s="62"/>
    </row>
    <row r="99" spans="1:32" s="45" customFormat="1">
      <c r="A99" s="90">
        <v>257</v>
      </c>
      <c r="B99" s="151" t="s">
        <v>98</v>
      </c>
      <c r="C99" s="395">
        <v>41154</v>
      </c>
      <c r="D99" s="134">
        <v>1505.75</v>
      </c>
      <c r="E99" s="41">
        <v>20712</v>
      </c>
      <c r="F99" s="332">
        <f t="shared" si="3"/>
        <v>7.2699401313248355E-2</v>
      </c>
      <c r="G99" s="377">
        <f>Muut[[#This Row],[Keskim. työttömyysaste 2023, %]]/$F$12</f>
        <v>0.73985382885321294</v>
      </c>
      <c r="H99" s="166">
        <v>1</v>
      </c>
      <c r="I99" s="383">
        <v>6099</v>
      </c>
      <c r="J99" s="389">
        <v>4911</v>
      </c>
      <c r="K99" s="269">
        <v>366.6</v>
      </c>
      <c r="L99" s="170">
        <f t="shared" si="4"/>
        <v>112.25859247135843</v>
      </c>
      <c r="M99" s="377">
        <v>0.16416061401719018</v>
      </c>
      <c r="N99" s="166">
        <v>3</v>
      </c>
      <c r="O99" s="397">
        <v>648</v>
      </c>
      <c r="P99" s="269">
        <v>14622</v>
      </c>
      <c r="Q99" s="15">
        <v>2078</v>
      </c>
      <c r="R99" s="158">
        <v>0.14211462180276296</v>
      </c>
      <c r="S99" s="401">
        <v>1.0168094497785078</v>
      </c>
      <c r="T99" s="153">
        <v>2127</v>
      </c>
      <c r="U99" s="197">
        <v>2102126.086390039</v>
      </c>
      <c r="V99" s="159">
        <v>844183.77120000008</v>
      </c>
      <c r="W99" s="159">
        <v>1662143.3928000003</v>
      </c>
      <c r="X99" s="159">
        <v>8697921.209999999</v>
      </c>
      <c r="Y99" s="159">
        <v>279625.28998441395</v>
      </c>
      <c r="Z99" s="159">
        <v>0</v>
      </c>
      <c r="AA99" s="155">
        <v>191185.92000000001</v>
      </c>
      <c r="AB99" s="159">
        <v>1185909.2945658746</v>
      </c>
      <c r="AC99" s="159">
        <v>1796421.6600000001</v>
      </c>
      <c r="AD99" s="174">
        <f>SUM(Muut[[#This Row],[Työttömyysaste]:[Työttömät ja palveluissa olevat ]])</f>
        <v>16759516.624940328</v>
      </c>
      <c r="AF99" s="62"/>
    </row>
    <row r="100" spans="1:32" s="45" customFormat="1">
      <c r="A100" s="90">
        <v>260</v>
      </c>
      <c r="B100" s="151" t="s">
        <v>99</v>
      </c>
      <c r="C100" s="395">
        <v>9689</v>
      </c>
      <c r="D100" s="134">
        <v>569.91666666666663</v>
      </c>
      <c r="E100" s="41">
        <v>3751</v>
      </c>
      <c r="F100" s="332">
        <f t="shared" si="3"/>
        <v>0.15193726117479783</v>
      </c>
      <c r="G100" s="377">
        <f>Muut[[#This Row],[Keskim. työttömyysaste 2023, %]]/$F$12</f>
        <v>1.5462488327969153</v>
      </c>
      <c r="H100" s="166">
        <v>0</v>
      </c>
      <c r="I100" s="383">
        <v>2</v>
      </c>
      <c r="J100" s="389">
        <v>757</v>
      </c>
      <c r="K100" s="269">
        <v>1253.82</v>
      </c>
      <c r="L100" s="170">
        <f t="shared" si="4"/>
        <v>7.7275845017626139</v>
      </c>
      <c r="M100" s="377">
        <v>2.3847606538110724</v>
      </c>
      <c r="N100" s="166">
        <v>3</v>
      </c>
      <c r="O100" s="397">
        <v>360</v>
      </c>
      <c r="P100" s="269">
        <v>2206</v>
      </c>
      <c r="Q100" s="15">
        <v>343</v>
      </c>
      <c r="R100" s="158">
        <v>0.1554850407978241</v>
      </c>
      <c r="S100" s="401">
        <v>1.1124728530878771</v>
      </c>
      <c r="T100" s="153">
        <v>786</v>
      </c>
      <c r="U100" s="197">
        <v>1034330.0051245214</v>
      </c>
      <c r="V100" s="159">
        <v>0</v>
      </c>
      <c r="W100" s="159">
        <v>0</v>
      </c>
      <c r="X100" s="159">
        <v>1340730.27</v>
      </c>
      <c r="Y100" s="159">
        <v>956355.10389595712</v>
      </c>
      <c r="Z100" s="159">
        <v>0</v>
      </c>
      <c r="AA100" s="155">
        <v>106214.40000000001</v>
      </c>
      <c r="AB100" s="159">
        <v>305469.76008092961</v>
      </c>
      <c r="AC100" s="159">
        <v>663839.88</v>
      </c>
      <c r="AD100" s="174">
        <f>SUM(Muut[[#This Row],[Työttömyysaste]:[Työttömät ja palveluissa olevat ]])</f>
        <v>4406939.4191014078</v>
      </c>
      <c r="AF100" s="62"/>
    </row>
    <row r="101" spans="1:32" s="45" customFormat="1">
      <c r="A101" s="90">
        <v>261</v>
      </c>
      <c r="B101" s="151" t="s">
        <v>100</v>
      </c>
      <c r="C101" s="395">
        <v>6822</v>
      </c>
      <c r="D101" s="134">
        <v>297.16666666666669</v>
      </c>
      <c r="E101" s="41">
        <v>3461</v>
      </c>
      <c r="F101" s="332">
        <f t="shared" si="3"/>
        <v>8.5861504382163154E-2</v>
      </c>
      <c r="G101" s="377">
        <f>Muut[[#This Row],[Keskim. työttömyysaste 2023, %]]/$F$12</f>
        <v>0.87380310732578037</v>
      </c>
      <c r="H101" s="166">
        <v>0</v>
      </c>
      <c r="I101" s="383">
        <v>28</v>
      </c>
      <c r="J101" s="389">
        <v>324</v>
      </c>
      <c r="K101" s="269">
        <v>8095.14</v>
      </c>
      <c r="L101" s="170">
        <f t="shared" si="4"/>
        <v>0.84272785893758473</v>
      </c>
      <c r="M101" s="377">
        <v>21.867604438799731</v>
      </c>
      <c r="N101" s="166">
        <v>0</v>
      </c>
      <c r="O101" s="397">
        <v>0</v>
      </c>
      <c r="P101" s="269">
        <v>2273</v>
      </c>
      <c r="Q101" s="15">
        <v>288</v>
      </c>
      <c r="R101" s="158">
        <v>0.12670479542454904</v>
      </c>
      <c r="S101" s="401">
        <v>0.90655438325508964</v>
      </c>
      <c r="T101" s="153">
        <v>409</v>
      </c>
      <c r="U101" s="197">
        <v>411553.29446610378</v>
      </c>
      <c r="V101" s="159">
        <v>0</v>
      </c>
      <c r="W101" s="159">
        <v>0</v>
      </c>
      <c r="X101" s="159">
        <v>573839.64</v>
      </c>
      <c r="Y101" s="159">
        <v>5647251.5999999996</v>
      </c>
      <c r="Z101" s="159">
        <v>0</v>
      </c>
      <c r="AA101" s="155">
        <v>0</v>
      </c>
      <c r="AB101" s="159">
        <v>175269.1268327267</v>
      </c>
      <c r="AC101" s="159">
        <v>345433.22000000003</v>
      </c>
      <c r="AD101" s="174">
        <f>SUM(Muut[[#This Row],[Työttömyysaste]:[Työttömät ja palveluissa olevat ]])</f>
        <v>7153346.8812988298</v>
      </c>
      <c r="AF101" s="62"/>
    </row>
    <row r="102" spans="1:32" s="45" customFormat="1">
      <c r="A102" s="90">
        <v>263</v>
      </c>
      <c r="B102" s="151" t="s">
        <v>101</v>
      </c>
      <c r="C102" s="395">
        <v>7475</v>
      </c>
      <c r="D102" s="134">
        <v>335.5</v>
      </c>
      <c r="E102" s="41">
        <v>3173</v>
      </c>
      <c r="F102" s="332">
        <f t="shared" si="3"/>
        <v>0.10573589662779703</v>
      </c>
      <c r="G102" s="377">
        <f>Muut[[#This Row],[Keskim. työttömyysaste 2023, %]]/$F$12</f>
        <v>1.0760626161174054</v>
      </c>
      <c r="H102" s="166">
        <v>0</v>
      </c>
      <c r="I102" s="383">
        <v>0</v>
      </c>
      <c r="J102" s="389">
        <v>139</v>
      </c>
      <c r="K102" s="269">
        <v>1328.24</v>
      </c>
      <c r="L102" s="170">
        <f t="shared" si="4"/>
        <v>5.6277479973498767</v>
      </c>
      <c r="M102" s="377">
        <v>3.2745672829490102</v>
      </c>
      <c r="N102" s="166">
        <v>0</v>
      </c>
      <c r="O102" s="397">
        <v>0</v>
      </c>
      <c r="P102" s="269">
        <v>1860</v>
      </c>
      <c r="Q102" s="15">
        <v>248</v>
      </c>
      <c r="R102" s="158">
        <v>0.13333333333333333</v>
      </c>
      <c r="S102" s="401">
        <v>0.95398060793463846</v>
      </c>
      <c r="T102" s="153">
        <v>452</v>
      </c>
      <c r="U102" s="197">
        <v>555327.93855017389</v>
      </c>
      <c r="V102" s="159">
        <v>0</v>
      </c>
      <c r="W102" s="159">
        <v>0</v>
      </c>
      <c r="X102" s="159">
        <v>246184.28999999998</v>
      </c>
      <c r="Y102" s="159">
        <v>1013119.190313415</v>
      </c>
      <c r="Z102" s="159">
        <v>0</v>
      </c>
      <c r="AA102" s="155">
        <v>0</v>
      </c>
      <c r="AB102" s="159">
        <v>202092.68295578571</v>
      </c>
      <c r="AC102" s="159">
        <v>381750.16000000003</v>
      </c>
      <c r="AD102" s="174">
        <f>SUM(Muut[[#This Row],[Työttömyysaste]:[Työttömät ja palveluissa olevat ]])</f>
        <v>2398474.2618193747</v>
      </c>
      <c r="AF102" s="62"/>
    </row>
    <row r="103" spans="1:32" s="45" customFormat="1">
      <c r="A103" s="90">
        <v>265</v>
      </c>
      <c r="B103" s="151" t="s">
        <v>102</v>
      </c>
      <c r="C103" s="395">
        <v>1035</v>
      </c>
      <c r="D103" s="134">
        <v>57.416666666666664</v>
      </c>
      <c r="E103" s="41">
        <v>407</v>
      </c>
      <c r="F103" s="332">
        <f t="shared" si="3"/>
        <v>0.14107289107289106</v>
      </c>
      <c r="G103" s="377">
        <f>Muut[[#This Row],[Keskim. työttömyysaste 2023, %]]/$F$12</f>
        <v>1.4356833305675414</v>
      </c>
      <c r="H103" s="166">
        <v>0</v>
      </c>
      <c r="I103" s="383">
        <v>0</v>
      </c>
      <c r="J103" s="389">
        <v>20</v>
      </c>
      <c r="K103" s="269">
        <v>483.95</v>
      </c>
      <c r="L103" s="170">
        <f t="shared" si="4"/>
        <v>2.1386506870544477</v>
      </c>
      <c r="M103" s="377">
        <v>8.6168534115242128</v>
      </c>
      <c r="N103" s="166">
        <v>3</v>
      </c>
      <c r="O103" s="397">
        <v>81</v>
      </c>
      <c r="P103" s="269">
        <v>218</v>
      </c>
      <c r="Q103" s="15">
        <v>42</v>
      </c>
      <c r="R103" s="158">
        <v>0.19266055045871561</v>
      </c>
      <c r="S103" s="401">
        <v>1.3784582178872069</v>
      </c>
      <c r="T103" s="153">
        <v>72</v>
      </c>
      <c r="U103" s="197">
        <v>102588.76234236648</v>
      </c>
      <c r="V103" s="159">
        <v>0</v>
      </c>
      <c r="W103" s="159">
        <v>0</v>
      </c>
      <c r="X103" s="159">
        <v>35422.199999999997</v>
      </c>
      <c r="Y103" s="159">
        <v>369134.3673975917</v>
      </c>
      <c r="Z103" s="159">
        <v>0</v>
      </c>
      <c r="AA103" s="155">
        <v>23898.240000000002</v>
      </c>
      <c r="AB103" s="159">
        <v>40432.798601245762</v>
      </c>
      <c r="AC103" s="159">
        <v>60809.760000000002</v>
      </c>
      <c r="AD103" s="174">
        <f>SUM(Muut[[#This Row],[Työttömyysaste]:[Työttömät ja palveluissa olevat ]])</f>
        <v>632286.1283412039</v>
      </c>
      <c r="AF103" s="62"/>
    </row>
    <row r="104" spans="1:32" s="45" customFormat="1">
      <c r="A104" s="90">
        <v>271</v>
      </c>
      <c r="B104" s="151" t="s">
        <v>103</v>
      </c>
      <c r="C104" s="395">
        <v>6766</v>
      </c>
      <c r="D104" s="134">
        <v>234.5</v>
      </c>
      <c r="E104" s="41">
        <v>2971</v>
      </c>
      <c r="F104" s="332">
        <f t="shared" si="3"/>
        <v>7.8929653315382028E-2</v>
      </c>
      <c r="G104" s="377">
        <f>Muut[[#This Row],[Keskim. työttömyysaste 2023, %]]/$F$12</f>
        <v>0.80325841974712708</v>
      </c>
      <c r="H104" s="166">
        <v>0</v>
      </c>
      <c r="I104" s="383">
        <v>14</v>
      </c>
      <c r="J104" s="389">
        <v>223</v>
      </c>
      <c r="K104" s="269">
        <v>480.43</v>
      </c>
      <c r="L104" s="170">
        <f t="shared" si="4"/>
        <v>14.08321711799846</v>
      </c>
      <c r="M104" s="377">
        <v>1.3085390443389553</v>
      </c>
      <c r="N104" s="166">
        <v>0</v>
      </c>
      <c r="O104" s="397">
        <v>0</v>
      </c>
      <c r="P104" s="269">
        <v>1821</v>
      </c>
      <c r="Q104" s="15">
        <v>282</v>
      </c>
      <c r="R104" s="158">
        <v>0.15485996705107083</v>
      </c>
      <c r="S104" s="401">
        <v>1.1080005413408898</v>
      </c>
      <c r="T104" s="153">
        <v>387</v>
      </c>
      <c r="U104" s="197">
        <v>375221.80015134567</v>
      </c>
      <c r="V104" s="159">
        <v>0</v>
      </c>
      <c r="W104" s="159">
        <v>0</v>
      </c>
      <c r="X104" s="159">
        <v>394957.52999999997</v>
      </c>
      <c r="Y104" s="159">
        <v>366449.47645175119</v>
      </c>
      <c r="Z104" s="159">
        <v>0</v>
      </c>
      <c r="AA104" s="155">
        <v>0</v>
      </c>
      <c r="AB104" s="159">
        <v>212457.37532127113</v>
      </c>
      <c r="AC104" s="159">
        <v>326852.46000000002</v>
      </c>
      <c r="AD104" s="174">
        <f>SUM(Muut[[#This Row],[Työttömyysaste]:[Työttömät ja palveluissa olevat ]])</f>
        <v>1675938.641924368</v>
      </c>
      <c r="AF104" s="62"/>
    </row>
    <row r="105" spans="1:32" s="45" customFormat="1">
      <c r="A105" s="90">
        <v>272</v>
      </c>
      <c r="B105" s="151" t="s">
        <v>104</v>
      </c>
      <c r="C105" s="395">
        <v>48295</v>
      </c>
      <c r="D105" s="134">
        <v>1871.8333333333333</v>
      </c>
      <c r="E105" s="41">
        <v>21832</v>
      </c>
      <c r="F105" s="332">
        <f t="shared" si="3"/>
        <v>8.5738060339562716E-2</v>
      </c>
      <c r="G105" s="377">
        <f>Muut[[#This Row],[Keskim. työttömyysaste 2023, %]]/$F$12</f>
        <v>0.87254683085145945</v>
      </c>
      <c r="H105" s="166">
        <v>1</v>
      </c>
      <c r="I105" s="383">
        <v>5816</v>
      </c>
      <c r="J105" s="389">
        <v>2400</v>
      </c>
      <c r="K105" s="269">
        <v>1446.28</v>
      </c>
      <c r="L105" s="170">
        <f t="shared" si="4"/>
        <v>33.392565754902236</v>
      </c>
      <c r="M105" s="377">
        <v>0.55187252168840339</v>
      </c>
      <c r="N105" s="166">
        <v>0</v>
      </c>
      <c r="O105" s="397">
        <v>0</v>
      </c>
      <c r="P105" s="269">
        <v>14411</v>
      </c>
      <c r="Q105" s="15">
        <v>1219</v>
      </c>
      <c r="R105" s="158">
        <v>8.4588161820831315E-2</v>
      </c>
      <c r="S105" s="401">
        <v>0.60521599528432668</v>
      </c>
      <c r="T105" s="153">
        <v>2793</v>
      </c>
      <c r="U105" s="197">
        <v>2909321.3804898541</v>
      </c>
      <c r="V105" s="159">
        <v>990665.67600000009</v>
      </c>
      <c r="W105" s="159">
        <v>1585018.1952000002</v>
      </c>
      <c r="X105" s="159">
        <v>4250664</v>
      </c>
      <c r="Y105" s="159">
        <v>1103154.5673722264</v>
      </c>
      <c r="Z105" s="159">
        <v>0</v>
      </c>
      <c r="AA105" s="155">
        <v>0</v>
      </c>
      <c r="AB105" s="159">
        <v>828347.20999055076</v>
      </c>
      <c r="AC105" s="159">
        <v>2358911.94</v>
      </c>
      <c r="AD105" s="174">
        <f>SUM(Muut[[#This Row],[Työttömyysaste]:[Työttömät ja palveluissa olevat ]])</f>
        <v>14026082.969052633</v>
      </c>
      <c r="AF105" s="62"/>
    </row>
    <row r="106" spans="1:32" s="45" customFormat="1">
      <c r="A106" s="90">
        <v>273</v>
      </c>
      <c r="B106" s="151" t="s">
        <v>105</v>
      </c>
      <c r="C106" s="395">
        <v>4011</v>
      </c>
      <c r="D106" s="134">
        <v>182.41666666666666</v>
      </c>
      <c r="E106" s="41">
        <v>1894</v>
      </c>
      <c r="F106" s="332">
        <f t="shared" si="3"/>
        <v>9.6312917986624419E-2</v>
      </c>
      <c r="G106" s="377">
        <f>Muut[[#This Row],[Keskim. työttömyysaste 2023, %]]/$F$12</f>
        <v>0.98016599660008441</v>
      </c>
      <c r="H106" s="166">
        <v>0</v>
      </c>
      <c r="I106" s="383">
        <v>26</v>
      </c>
      <c r="J106" s="389">
        <v>94</v>
      </c>
      <c r="K106" s="269">
        <v>2559.34</v>
      </c>
      <c r="L106" s="170">
        <f t="shared" si="4"/>
        <v>1.5672009189869263</v>
      </c>
      <c r="M106" s="377">
        <v>11.758823802066347</v>
      </c>
      <c r="N106" s="166">
        <v>0</v>
      </c>
      <c r="O106" s="397">
        <v>0</v>
      </c>
      <c r="P106" s="269">
        <v>1211</v>
      </c>
      <c r="Q106" s="15">
        <v>157</v>
      </c>
      <c r="R106" s="158">
        <v>0.12964492155243601</v>
      </c>
      <c r="S106" s="401">
        <v>0.92759055808673563</v>
      </c>
      <c r="T106" s="153">
        <v>260</v>
      </c>
      <c r="U106" s="197">
        <v>271427.01888553728</v>
      </c>
      <c r="V106" s="159">
        <v>0</v>
      </c>
      <c r="W106" s="159">
        <v>0</v>
      </c>
      <c r="X106" s="159">
        <v>166484.34</v>
      </c>
      <c r="Y106" s="159">
        <v>1952144.543558947</v>
      </c>
      <c r="Z106" s="159">
        <v>0</v>
      </c>
      <c r="AA106" s="155">
        <v>0</v>
      </c>
      <c r="AB106" s="159">
        <v>105440.83274529032</v>
      </c>
      <c r="AC106" s="159">
        <v>219590.80000000002</v>
      </c>
      <c r="AD106" s="174">
        <f>SUM(Muut[[#This Row],[Työttömyysaste]:[Työttömät ja palveluissa olevat ]])</f>
        <v>2715087.5351897744</v>
      </c>
      <c r="AF106" s="62"/>
    </row>
    <row r="107" spans="1:32" s="45" customFormat="1">
      <c r="A107" s="90">
        <v>275</v>
      </c>
      <c r="B107" s="151" t="s">
        <v>106</v>
      </c>
      <c r="C107" s="395">
        <v>2499</v>
      </c>
      <c r="D107" s="134">
        <v>106.16666666666667</v>
      </c>
      <c r="E107" s="41">
        <v>1088</v>
      </c>
      <c r="F107" s="332">
        <f t="shared" si="3"/>
        <v>9.7579656862745098E-2</v>
      </c>
      <c r="G107" s="377">
        <f>Muut[[#This Row],[Keskim. työttömyysaste 2023, %]]/$F$12</f>
        <v>0.99305745912557164</v>
      </c>
      <c r="H107" s="166">
        <v>0</v>
      </c>
      <c r="I107" s="383">
        <v>0</v>
      </c>
      <c r="J107" s="389">
        <v>52</v>
      </c>
      <c r="K107" s="269">
        <v>512.94000000000005</v>
      </c>
      <c r="L107" s="170">
        <f t="shared" si="4"/>
        <v>4.8719148438413846</v>
      </c>
      <c r="M107" s="377">
        <v>3.7825865310636977</v>
      </c>
      <c r="N107" s="166">
        <v>0</v>
      </c>
      <c r="O107" s="397">
        <v>0</v>
      </c>
      <c r="P107" s="269">
        <v>598</v>
      </c>
      <c r="Q107" s="15">
        <v>69</v>
      </c>
      <c r="R107" s="158">
        <v>0.11538461538461539</v>
      </c>
      <c r="S107" s="401">
        <v>0.82556014148189871</v>
      </c>
      <c r="T107" s="153">
        <v>160</v>
      </c>
      <c r="U107" s="197">
        <v>171333.15675809566</v>
      </c>
      <c r="V107" s="159">
        <v>0</v>
      </c>
      <c r="W107" s="159">
        <v>0</v>
      </c>
      <c r="X107" s="159">
        <v>92097.72</v>
      </c>
      <c r="Y107" s="159">
        <v>391246.58004529541</v>
      </c>
      <c r="Z107" s="159">
        <v>0</v>
      </c>
      <c r="AA107" s="155">
        <v>0</v>
      </c>
      <c r="AB107" s="159">
        <v>58467.539649582926</v>
      </c>
      <c r="AC107" s="159">
        <v>135132.80000000002</v>
      </c>
      <c r="AD107" s="174">
        <f>SUM(Muut[[#This Row],[Työttömyysaste]:[Työttömät ja palveluissa olevat ]])</f>
        <v>848277.79645297409</v>
      </c>
      <c r="AF107" s="62"/>
    </row>
    <row r="108" spans="1:32" s="45" customFormat="1">
      <c r="A108" s="90">
        <v>276</v>
      </c>
      <c r="B108" s="151" t="s">
        <v>107</v>
      </c>
      <c r="C108" s="395">
        <v>15136</v>
      </c>
      <c r="D108" s="134">
        <v>652.66666666666663</v>
      </c>
      <c r="E108" s="41">
        <v>7339</v>
      </c>
      <c r="F108" s="332">
        <f t="shared" si="3"/>
        <v>8.8931280374256252E-2</v>
      </c>
      <c r="G108" s="377">
        <f>Muut[[#This Row],[Keskim. työttömyysaste 2023, %]]/$F$12</f>
        <v>0.905043880708296</v>
      </c>
      <c r="H108" s="166">
        <v>0</v>
      </c>
      <c r="I108" s="383">
        <v>9</v>
      </c>
      <c r="J108" s="389">
        <v>347</v>
      </c>
      <c r="K108" s="269">
        <v>799.81</v>
      </c>
      <c r="L108" s="170">
        <f t="shared" si="4"/>
        <v>18.924494567459774</v>
      </c>
      <c r="M108" s="377">
        <v>0.97378766989587084</v>
      </c>
      <c r="N108" s="166">
        <v>0</v>
      </c>
      <c r="O108" s="397">
        <v>0</v>
      </c>
      <c r="P108" s="269">
        <v>5203</v>
      </c>
      <c r="Q108" s="15">
        <v>326</v>
      </c>
      <c r="R108" s="158">
        <v>6.2656159907745534E-2</v>
      </c>
      <c r="S108" s="401">
        <v>0.44829571139730751</v>
      </c>
      <c r="T108" s="153">
        <v>911</v>
      </c>
      <c r="U108" s="197">
        <v>945761.29807678913</v>
      </c>
      <c r="V108" s="159">
        <v>0</v>
      </c>
      <c r="W108" s="159">
        <v>0</v>
      </c>
      <c r="X108" s="159">
        <v>614575.16999999993</v>
      </c>
      <c r="Y108" s="159">
        <v>610057.56460020202</v>
      </c>
      <c r="Z108" s="159">
        <v>0</v>
      </c>
      <c r="AA108" s="155">
        <v>0</v>
      </c>
      <c r="AB108" s="159">
        <v>192298.34617769139</v>
      </c>
      <c r="AC108" s="159">
        <v>769412.38</v>
      </c>
      <c r="AD108" s="174">
        <f>SUM(Muut[[#This Row],[Työttömyysaste]:[Työttömät ja palveluissa olevat ]])</f>
        <v>3132104.7588546826</v>
      </c>
      <c r="AF108" s="62"/>
    </row>
    <row r="109" spans="1:32" s="45" customFormat="1">
      <c r="A109" s="90">
        <v>280</v>
      </c>
      <c r="B109" s="151" t="s">
        <v>108</v>
      </c>
      <c r="C109" s="395">
        <v>2015</v>
      </c>
      <c r="D109" s="134">
        <v>54.25</v>
      </c>
      <c r="E109" s="41">
        <v>960</v>
      </c>
      <c r="F109" s="332">
        <f t="shared" si="3"/>
        <v>5.6510416666666667E-2</v>
      </c>
      <c r="G109" s="377">
        <f>Muut[[#This Row],[Keskim. työttömyysaste 2023, %]]/$F$12</f>
        <v>0.57510030874634754</v>
      </c>
      <c r="H109" s="384">
        <v>3</v>
      </c>
      <c r="I109" s="383">
        <v>1686</v>
      </c>
      <c r="J109" s="389">
        <v>255</v>
      </c>
      <c r="K109" s="269">
        <v>236.27</v>
      </c>
      <c r="L109" s="170">
        <f t="shared" si="4"/>
        <v>8.5283785499640246</v>
      </c>
      <c r="M109" s="377">
        <v>2.1608374160269253</v>
      </c>
      <c r="N109" s="166">
        <v>0</v>
      </c>
      <c r="O109" s="397">
        <v>0</v>
      </c>
      <c r="P109" s="269">
        <v>558</v>
      </c>
      <c r="Q109" s="15">
        <v>99</v>
      </c>
      <c r="R109" s="158">
        <v>0.17741935483870969</v>
      </c>
      <c r="S109" s="401">
        <v>1.269409679913027</v>
      </c>
      <c r="T109" s="153">
        <v>76</v>
      </c>
      <c r="U109" s="197">
        <v>80005.42451143339</v>
      </c>
      <c r="V109" s="159">
        <v>41333.292000000001</v>
      </c>
      <c r="W109" s="159">
        <v>459480.85920000006</v>
      </c>
      <c r="X109" s="159">
        <v>451633.05</v>
      </c>
      <c r="Y109" s="159">
        <v>180215.67720844917</v>
      </c>
      <c r="Z109" s="159">
        <v>0</v>
      </c>
      <c r="AA109" s="155">
        <v>0</v>
      </c>
      <c r="AB109" s="159">
        <v>72489.766712401397</v>
      </c>
      <c r="AC109" s="159">
        <v>64188.08</v>
      </c>
      <c r="AD109" s="174">
        <f>SUM(Muut[[#This Row],[Työttömyysaste]:[Työttömät ja palveluissa olevat ]])</f>
        <v>1349346.149632284</v>
      </c>
      <c r="AF109" s="62"/>
    </row>
    <row r="110" spans="1:32" s="45" customFormat="1">
      <c r="A110" s="90">
        <v>284</v>
      </c>
      <c r="B110" s="151" t="s">
        <v>109</v>
      </c>
      <c r="C110" s="395">
        <v>2207</v>
      </c>
      <c r="D110" s="134">
        <v>61.083333333333336</v>
      </c>
      <c r="E110" s="41">
        <v>966</v>
      </c>
      <c r="F110" s="332">
        <f t="shared" si="3"/>
        <v>6.3233264320220847E-2</v>
      </c>
      <c r="G110" s="377">
        <f>Muut[[#This Row],[Keskim. työttömyysaste 2023, %]]/$F$12</f>
        <v>0.6435179915254281</v>
      </c>
      <c r="H110" s="166">
        <v>0</v>
      </c>
      <c r="I110" s="383">
        <v>8</v>
      </c>
      <c r="J110" s="389">
        <v>110</v>
      </c>
      <c r="K110" s="269">
        <v>191.5</v>
      </c>
      <c r="L110" s="170">
        <f t="shared" si="4"/>
        <v>11.524804177545692</v>
      </c>
      <c r="M110" s="377">
        <v>1.5990240862147316</v>
      </c>
      <c r="N110" s="166">
        <v>0</v>
      </c>
      <c r="O110" s="397">
        <v>0</v>
      </c>
      <c r="P110" s="269">
        <v>580</v>
      </c>
      <c r="Q110" s="15">
        <v>92</v>
      </c>
      <c r="R110" s="158">
        <v>0.15862068965517243</v>
      </c>
      <c r="S110" s="401">
        <v>1.1349079646118976</v>
      </c>
      <c r="T110" s="153">
        <v>98</v>
      </c>
      <c r="U110" s="197">
        <v>98053.660071758655</v>
      </c>
      <c r="V110" s="159">
        <v>0</v>
      </c>
      <c r="W110" s="159">
        <v>0</v>
      </c>
      <c r="X110" s="159">
        <v>194822.09999999998</v>
      </c>
      <c r="Y110" s="159">
        <v>146067.22049104003</v>
      </c>
      <c r="Z110" s="159">
        <v>0</v>
      </c>
      <c r="AA110" s="155">
        <v>0</v>
      </c>
      <c r="AB110" s="159">
        <v>70984.384819642291</v>
      </c>
      <c r="AC110" s="159">
        <v>82768.840000000011</v>
      </c>
      <c r="AD110" s="174">
        <f>SUM(Muut[[#This Row],[Työttömyysaste]:[Työttömät ja palveluissa olevat ]])</f>
        <v>592696.20538244094</v>
      </c>
      <c r="AF110" s="62"/>
    </row>
    <row r="111" spans="1:32" s="45" customFormat="1">
      <c r="A111" s="90">
        <v>285</v>
      </c>
      <c r="B111" s="151" t="s">
        <v>110</v>
      </c>
      <c r="C111" s="395">
        <v>50500</v>
      </c>
      <c r="D111" s="134">
        <v>2932</v>
      </c>
      <c r="E111" s="41">
        <v>22543</v>
      </c>
      <c r="F111" s="332">
        <f t="shared" si="3"/>
        <v>0.13006254713214746</v>
      </c>
      <c r="G111" s="377">
        <f>Muut[[#This Row],[Keskim. työttömyysaste 2023, %]]/$F$12</f>
        <v>1.3236322686000555</v>
      </c>
      <c r="H111" s="166">
        <v>0</v>
      </c>
      <c r="I111" s="383">
        <v>481</v>
      </c>
      <c r="J111" s="389">
        <v>5330</v>
      </c>
      <c r="K111" s="269">
        <v>272.13</v>
      </c>
      <c r="L111" s="170">
        <f t="shared" si="4"/>
        <v>185.57307169367581</v>
      </c>
      <c r="M111" s="377">
        <v>9.9305568963278343E-2</v>
      </c>
      <c r="N111" s="166">
        <v>3</v>
      </c>
      <c r="O111" s="397">
        <v>465</v>
      </c>
      <c r="P111" s="269">
        <v>14734</v>
      </c>
      <c r="Q111" s="15">
        <v>2354</v>
      </c>
      <c r="R111" s="158">
        <v>0.15976652640152028</v>
      </c>
      <c r="S111" s="401">
        <v>1.1431062598809583</v>
      </c>
      <c r="T111" s="153">
        <v>4155</v>
      </c>
      <c r="U111" s="197">
        <v>4614870.3771194657</v>
      </c>
      <c r="V111" s="159">
        <v>0</v>
      </c>
      <c r="W111" s="159">
        <v>0</v>
      </c>
      <c r="X111" s="159">
        <v>9440016.2999999989</v>
      </c>
      <c r="Y111" s="159">
        <v>207568.00371919959</v>
      </c>
      <c r="Z111" s="159">
        <v>0</v>
      </c>
      <c r="AA111" s="155">
        <v>137193.60000000001</v>
      </c>
      <c r="AB111" s="159">
        <v>1635979.385953831</v>
      </c>
      <c r="AC111" s="159">
        <v>3509229.9000000004</v>
      </c>
      <c r="AD111" s="174">
        <f>SUM(Muut[[#This Row],[Työttömyysaste]:[Työttömät ja palveluissa olevat ]])</f>
        <v>19544857.566792496</v>
      </c>
      <c r="AF111" s="62"/>
    </row>
    <row r="112" spans="1:32" s="45" customFormat="1">
      <c r="A112" s="90">
        <v>286</v>
      </c>
      <c r="B112" s="151" t="s">
        <v>111</v>
      </c>
      <c r="C112" s="395">
        <v>78880</v>
      </c>
      <c r="D112" s="134">
        <v>3727.75</v>
      </c>
      <c r="E112" s="41">
        <v>35611</v>
      </c>
      <c r="F112" s="332">
        <f t="shared" si="3"/>
        <v>0.10467973379012104</v>
      </c>
      <c r="G112" s="377">
        <f>Muut[[#This Row],[Keskim. työttömyysaste 2023, %]]/$F$12</f>
        <v>1.0653141628257459</v>
      </c>
      <c r="H112" s="166">
        <v>0</v>
      </c>
      <c r="I112" s="383">
        <v>279</v>
      </c>
      <c r="J112" s="389">
        <v>4125</v>
      </c>
      <c r="K112" s="269">
        <v>2557.59</v>
      </c>
      <c r="L112" s="170">
        <f t="shared" si="4"/>
        <v>30.841534413256227</v>
      </c>
      <c r="M112" s="377">
        <v>0.59752018890742531</v>
      </c>
      <c r="N112" s="166">
        <v>0</v>
      </c>
      <c r="O112" s="397">
        <v>0</v>
      </c>
      <c r="P112" s="269">
        <v>22497</v>
      </c>
      <c r="Q112" s="15">
        <v>2833</v>
      </c>
      <c r="R112" s="158">
        <v>0.1259279014979775</v>
      </c>
      <c r="S112" s="401">
        <v>0.90099582020230384</v>
      </c>
      <c r="T112" s="153">
        <v>5254</v>
      </c>
      <c r="U112" s="197">
        <v>5801567.9795414917</v>
      </c>
      <c r="V112" s="159">
        <v>0</v>
      </c>
      <c r="W112" s="159">
        <v>0</v>
      </c>
      <c r="X112" s="159">
        <v>7305828.75</v>
      </c>
      <c r="Y112" s="159">
        <v>1950809.7256171231</v>
      </c>
      <c r="Z112" s="159">
        <v>0</v>
      </c>
      <c r="AA112" s="155">
        <v>0</v>
      </c>
      <c r="AB112" s="159">
        <v>2014139.3954327859</v>
      </c>
      <c r="AC112" s="159">
        <v>4437423.32</v>
      </c>
      <c r="AD112" s="174">
        <f>SUM(Muut[[#This Row],[Työttömyysaste]:[Työttömät ja palveluissa olevat ]])</f>
        <v>21509769.170591403</v>
      </c>
      <c r="AF112" s="62"/>
    </row>
    <row r="113" spans="1:32" s="45" customFormat="1">
      <c r="A113" s="90">
        <v>287</v>
      </c>
      <c r="B113" s="151" t="s">
        <v>112</v>
      </c>
      <c r="C113" s="395">
        <v>6199</v>
      </c>
      <c r="D113" s="134">
        <v>184.58333333333334</v>
      </c>
      <c r="E113" s="41">
        <v>2632</v>
      </c>
      <c r="F113" s="332">
        <f t="shared" si="3"/>
        <v>7.0130445795339419E-2</v>
      </c>
      <c r="G113" s="377">
        <f>Muut[[#This Row],[Keskim. työttömyysaste 2023, %]]/$F$12</f>
        <v>0.71370985047450586</v>
      </c>
      <c r="H113" s="166">
        <v>3</v>
      </c>
      <c r="I113" s="383">
        <v>3281</v>
      </c>
      <c r="J113" s="389">
        <v>407</v>
      </c>
      <c r="K113" s="269">
        <v>683.25</v>
      </c>
      <c r="L113" s="170">
        <f t="shared" si="4"/>
        <v>9.0728137577753376</v>
      </c>
      <c r="M113" s="377">
        <v>2.0311713610356739</v>
      </c>
      <c r="N113" s="166">
        <v>0</v>
      </c>
      <c r="O113" s="397">
        <v>0</v>
      </c>
      <c r="P113" s="269">
        <v>1507</v>
      </c>
      <c r="Q113" s="15">
        <v>242</v>
      </c>
      <c r="R113" s="158">
        <v>0.16058394160583941</v>
      </c>
      <c r="S113" s="401">
        <v>1.1489547467825938</v>
      </c>
      <c r="T113" s="153">
        <v>252</v>
      </c>
      <c r="U113" s="197">
        <v>305452.79954783455</v>
      </c>
      <c r="V113" s="159">
        <v>127158.84720000002</v>
      </c>
      <c r="W113" s="159">
        <v>894161.74320000014</v>
      </c>
      <c r="X113" s="159">
        <v>720841.7699999999</v>
      </c>
      <c r="Y113" s="159">
        <v>521151.06214361929</v>
      </c>
      <c r="Z113" s="159">
        <v>0</v>
      </c>
      <c r="AA113" s="155">
        <v>0</v>
      </c>
      <c r="AB113" s="159">
        <v>201847.97927015217</v>
      </c>
      <c r="AC113" s="159">
        <v>212834.16</v>
      </c>
      <c r="AD113" s="174">
        <f>SUM(Muut[[#This Row],[Työttömyysaste]:[Työttömät ja palveluissa olevat ]])</f>
        <v>2983448.361361606</v>
      </c>
      <c r="AF113" s="62"/>
    </row>
    <row r="114" spans="1:32" s="45" customFormat="1">
      <c r="A114" s="90">
        <v>288</v>
      </c>
      <c r="B114" s="151" t="s">
        <v>113</v>
      </c>
      <c r="C114" s="395">
        <v>6368</v>
      </c>
      <c r="D114" s="134">
        <v>138.5</v>
      </c>
      <c r="E114" s="41">
        <v>2959</v>
      </c>
      <c r="F114" s="332">
        <f t="shared" si="3"/>
        <v>4.6806353497803314E-2</v>
      </c>
      <c r="G114" s="377">
        <f>Muut[[#This Row],[Keskim. työttömyysaste 2023, %]]/$F$12</f>
        <v>0.47634312283801428</v>
      </c>
      <c r="H114" s="166">
        <v>3</v>
      </c>
      <c r="I114" s="383">
        <v>4839</v>
      </c>
      <c r="J114" s="389">
        <v>311</v>
      </c>
      <c r="K114" s="269">
        <v>712.85</v>
      </c>
      <c r="L114" s="170">
        <f t="shared" si="4"/>
        <v>8.9331556428421131</v>
      </c>
      <c r="M114" s="377">
        <v>2.0629260482626779</v>
      </c>
      <c r="N114" s="166">
        <v>0</v>
      </c>
      <c r="O114" s="397">
        <v>0</v>
      </c>
      <c r="P114" s="269">
        <v>1841</v>
      </c>
      <c r="Q114" s="15">
        <v>220</v>
      </c>
      <c r="R114" s="158">
        <v>0.11950027159152635</v>
      </c>
      <c r="S114" s="401">
        <v>0.85500706305929031</v>
      </c>
      <c r="T114" s="153">
        <v>203</v>
      </c>
      <c r="U114" s="197">
        <v>209422.6915502901</v>
      </c>
      <c r="V114" s="159">
        <v>130625.51040000001</v>
      </c>
      <c r="W114" s="159">
        <v>1318759.1208000001</v>
      </c>
      <c r="X114" s="159">
        <v>550815.21</v>
      </c>
      <c r="Y114" s="159">
        <v>543728.55418818735</v>
      </c>
      <c r="Z114" s="159">
        <v>0</v>
      </c>
      <c r="AA114" s="155">
        <v>0</v>
      </c>
      <c r="AB114" s="159">
        <v>154302.37226409465</v>
      </c>
      <c r="AC114" s="159">
        <v>171449.74000000002</v>
      </c>
      <c r="AD114" s="174">
        <f>SUM(Muut[[#This Row],[Työttömyysaste]:[Työttömät ja palveluissa olevat ]])</f>
        <v>3079103.1992025725</v>
      </c>
      <c r="AF114" s="62"/>
    </row>
    <row r="115" spans="1:32" s="45" customFormat="1">
      <c r="A115" s="90">
        <v>290</v>
      </c>
      <c r="B115" s="151" t="s">
        <v>114</v>
      </c>
      <c r="C115" s="395">
        <v>7582</v>
      </c>
      <c r="D115" s="134">
        <v>317.66666666666669</v>
      </c>
      <c r="E115" s="41">
        <v>3120</v>
      </c>
      <c r="F115" s="332">
        <f t="shared" si="3"/>
        <v>0.10181623931623933</v>
      </c>
      <c r="G115" s="377">
        <f>Muut[[#This Row],[Keskim. työttömyysaste 2023, %]]/$F$12</f>
        <v>1.036172693815941</v>
      </c>
      <c r="H115" s="166">
        <v>0</v>
      </c>
      <c r="I115" s="383">
        <v>4</v>
      </c>
      <c r="J115" s="389">
        <v>214</v>
      </c>
      <c r="K115" s="269">
        <v>4807.3100000000004</v>
      </c>
      <c r="L115" s="170">
        <f t="shared" si="4"/>
        <v>1.5771814174663168</v>
      </c>
      <c r="M115" s="377">
        <v>11.684413260719444</v>
      </c>
      <c r="N115" s="166">
        <v>0</v>
      </c>
      <c r="O115" s="397">
        <v>0</v>
      </c>
      <c r="P115" s="269">
        <v>1767</v>
      </c>
      <c r="Q115" s="15">
        <v>194</v>
      </c>
      <c r="R115" s="158">
        <v>0.10979060554612337</v>
      </c>
      <c r="S115" s="401">
        <v>0.78553581468302136</v>
      </c>
      <c r="T115" s="153">
        <v>450</v>
      </c>
      <c r="U115" s="197">
        <v>542396.28460594057</v>
      </c>
      <c r="V115" s="159">
        <v>0</v>
      </c>
      <c r="W115" s="159">
        <v>0</v>
      </c>
      <c r="X115" s="159">
        <v>379017.54</v>
      </c>
      <c r="Y115" s="159">
        <v>3666790.6513774497</v>
      </c>
      <c r="Z115" s="159">
        <v>0</v>
      </c>
      <c r="AA115" s="155">
        <v>0</v>
      </c>
      <c r="AB115" s="159">
        <v>168791.12837990175</v>
      </c>
      <c r="AC115" s="159">
        <v>380061</v>
      </c>
      <c r="AD115" s="174">
        <f>SUM(Muut[[#This Row],[Työttömyysaste]:[Työttömät ja palveluissa olevat ]])</f>
        <v>5137056.6043632925</v>
      </c>
      <c r="AF115" s="62"/>
    </row>
    <row r="116" spans="1:32" s="45" customFormat="1">
      <c r="A116" s="90">
        <v>291</v>
      </c>
      <c r="B116" s="151" t="s">
        <v>115</v>
      </c>
      <c r="C116" s="395">
        <v>2092</v>
      </c>
      <c r="D116" s="134">
        <v>75.333333333333329</v>
      </c>
      <c r="E116" s="41">
        <v>792</v>
      </c>
      <c r="F116" s="332">
        <f t="shared" si="3"/>
        <v>9.5117845117845115E-2</v>
      </c>
      <c r="G116" s="377">
        <f>Muut[[#This Row],[Keskim. työttömyysaste 2023, %]]/$F$12</f>
        <v>0.96800387116640718</v>
      </c>
      <c r="H116" s="166">
        <v>0</v>
      </c>
      <c r="I116" s="383">
        <v>10</v>
      </c>
      <c r="J116" s="389">
        <v>50</v>
      </c>
      <c r="K116" s="269">
        <v>660.93</v>
      </c>
      <c r="L116" s="170">
        <f t="shared" si="4"/>
        <v>3.1652368632079044</v>
      </c>
      <c r="M116" s="377">
        <v>5.8221359933634993</v>
      </c>
      <c r="N116" s="166">
        <v>3</v>
      </c>
      <c r="O116" s="397">
        <v>164</v>
      </c>
      <c r="P116" s="269">
        <v>456</v>
      </c>
      <c r="Q116" s="15">
        <v>62</v>
      </c>
      <c r="R116" s="158">
        <v>0.13596491228070176</v>
      </c>
      <c r="S116" s="401">
        <v>0.97280917256492738</v>
      </c>
      <c r="T116" s="153">
        <v>104</v>
      </c>
      <c r="U116" s="197">
        <v>139810.42535906777</v>
      </c>
      <c r="V116" s="159">
        <v>0</v>
      </c>
      <c r="W116" s="159">
        <v>0</v>
      </c>
      <c r="X116" s="159">
        <v>88555.5</v>
      </c>
      <c r="Y116" s="159">
        <v>504126.41273703944</v>
      </c>
      <c r="Z116" s="159">
        <v>0</v>
      </c>
      <c r="AA116" s="155">
        <v>48386.560000000005</v>
      </c>
      <c r="AB116" s="159">
        <v>57675.209800425167</v>
      </c>
      <c r="AC116" s="159">
        <v>87836.32</v>
      </c>
      <c r="AD116" s="174">
        <f>SUM(Muut[[#This Row],[Työttömyysaste]:[Työttömät ja palveluissa olevat ]])</f>
        <v>926390.42789653246</v>
      </c>
      <c r="AF116" s="62"/>
    </row>
    <row r="117" spans="1:32" s="45" customFormat="1">
      <c r="A117" s="151">
        <v>297</v>
      </c>
      <c r="B117" s="151" t="s">
        <v>116</v>
      </c>
      <c r="C117" s="395">
        <v>124021</v>
      </c>
      <c r="D117" s="134">
        <v>5960.416666666667</v>
      </c>
      <c r="E117" s="41">
        <v>58516</v>
      </c>
      <c r="F117" s="332">
        <f t="shared" si="3"/>
        <v>0.10185960535010367</v>
      </c>
      <c r="G117" s="377">
        <f>Muut[[#This Row],[Keskim. työttömyysaste 2023, %]]/$F$12</f>
        <v>1.0366140251834233</v>
      </c>
      <c r="H117" s="166">
        <v>0</v>
      </c>
      <c r="I117" s="383">
        <v>134</v>
      </c>
      <c r="J117" s="389">
        <v>7029</v>
      </c>
      <c r="K117" s="269">
        <v>3241.82</v>
      </c>
      <c r="L117" s="170">
        <f t="shared" si="4"/>
        <v>38.256596603142675</v>
      </c>
      <c r="M117" s="377">
        <v>0.48170619200584808</v>
      </c>
      <c r="N117" s="166">
        <v>3</v>
      </c>
      <c r="O117" s="397">
        <v>820</v>
      </c>
      <c r="P117" s="269">
        <v>38027</v>
      </c>
      <c r="Q117" s="15">
        <v>3576</v>
      </c>
      <c r="R117" s="158">
        <v>9.4038446367054981E-2</v>
      </c>
      <c r="S117" s="401">
        <v>0.67283140675854003</v>
      </c>
      <c r="T117" s="153">
        <v>7905</v>
      </c>
      <c r="U117" s="197">
        <v>8875914.1295125503</v>
      </c>
      <c r="V117" s="159">
        <v>0</v>
      </c>
      <c r="W117" s="159">
        <v>0</v>
      </c>
      <c r="X117" s="159">
        <v>12449132.189999999</v>
      </c>
      <c r="Y117" s="159">
        <v>2472708.2858081642</v>
      </c>
      <c r="Z117" s="159">
        <v>0</v>
      </c>
      <c r="AA117" s="155">
        <v>241932.80000000002</v>
      </c>
      <c r="AB117" s="159">
        <v>2364837.6452580094</v>
      </c>
      <c r="AC117" s="159">
        <v>6676404.9000000004</v>
      </c>
      <c r="AD117" s="174">
        <f>SUM(Muut[[#This Row],[Työttömyysaste]:[Työttömät ja palveluissa olevat ]])</f>
        <v>33080929.950578727</v>
      </c>
      <c r="AF117" s="62"/>
    </row>
    <row r="118" spans="1:32" s="45" customFormat="1">
      <c r="A118" s="90">
        <v>300</v>
      </c>
      <c r="B118" s="151" t="s">
        <v>117</v>
      </c>
      <c r="C118" s="395">
        <v>3381</v>
      </c>
      <c r="D118" s="134">
        <v>62.25</v>
      </c>
      <c r="E118" s="41">
        <v>1456</v>
      </c>
      <c r="F118" s="332">
        <f t="shared" si="3"/>
        <v>4.275412087912088E-2</v>
      </c>
      <c r="G118" s="377">
        <f>Muut[[#This Row],[Keskim. työttömyysaste 2023, %]]/$F$12</f>
        <v>0.43510399618526524</v>
      </c>
      <c r="H118" s="166">
        <v>0</v>
      </c>
      <c r="I118" s="383">
        <v>6</v>
      </c>
      <c r="J118" s="389">
        <v>75</v>
      </c>
      <c r="K118" s="269">
        <v>462.37</v>
      </c>
      <c r="L118" s="170">
        <f t="shared" si="4"/>
        <v>7.3123256266626298</v>
      </c>
      <c r="M118" s="377">
        <v>2.5201885705976856</v>
      </c>
      <c r="N118" s="166">
        <v>0</v>
      </c>
      <c r="O118" s="397">
        <v>0</v>
      </c>
      <c r="P118" s="269">
        <v>879</v>
      </c>
      <c r="Q118" s="15">
        <v>110</v>
      </c>
      <c r="R118" s="158">
        <v>0.12514220705346984</v>
      </c>
      <c r="S118" s="401">
        <v>0.89537429072363672</v>
      </c>
      <c r="T118" s="153">
        <v>93</v>
      </c>
      <c r="U118" s="197">
        <v>101563.81963050844</v>
      </c>
      <c r="V118" s="159">
        <v>0</v>
      </c>
      <c r="W118" s="159">
        <v>0</v>
      </c>
      <c r="X118" s="159">
        <v>132833.25</v>
      </c>
      <c r="Y118" s="159">
        <v>352674.15529212618</v>
      </c>
      <c r="Z118" s="159">
        <v>0</v>
      </c>
      <c r="AA118" s="155">
        <v>0</v>
      </c>
      <c r="AB118" s="159">
        <v>85792.561916383696</v>
      </c>
      <c r="AC118" s="159">
        <v>78545.94</v>
      </c>
      <c r="AD118" s="174">
        <f>SUM(Muut[[#This Row],[Työttömyysaste]:[Työttömät ja palveluissa olevat ]])</f>
        <v>751409.72683901829</v>
      </c>
      <c r="AF118" s="62"/>
    </row>
    <row r="119" spans="1:32" s="45" customFormat="1">
      <c r="A119" s="90">
        <v>301</v>
      </c>
      <c r="B119" s="151" t="s">
        <v>118</v>
      </c>
      <c r="C119" s="395">
        <v>19759</v>
      </c>
      <c r="D119" s="134">
        <v>556.75</v>
      </c>
      <c r="E119" s="41">
        <v>8515</v>
      </c>
      <c r="F119" s="332">
        <f t="shared" si="3"/>
        <v>6.5384615384615388E-2</v>
      </c>
      <c r="G119" s="377">
        <f>Muut[[#This Row],[Keskim. työttömyysaste 2023, %]]/$F$12</f>
        <v>0.66541205521023694</v>
      </c>
      <c r="H119" s="166">
        <v>0</v>
      </c>
      <c r="I119" s="383">
        <v>84</v>
      </c>
      <c r="J119" s="389">
        <v>580</v>
      </c>
      <c r="K119" s="269">
        <v>1724.69</v>
      </c>
      <c r="L119" s="170">
        <f t="shared" si="4"/>
        <v>11.456551612173781</v>
      </c>
      <c r="M119" s="377">
        <v>1.6085502944203194</v>
      </c>
      <c r="N119" s="166">
        <v>0</v>
      </c>
      <c r="O119" s="397">
        <v>0</v>
      </c>
      <c r="P119" s="269">
        <v>5336</v>
      </c>
      <c r="Q119" s="15">
        <v>598</v>
      </c>
      <c r="R119" s="158">
        <v>0.11206896551724138</v>
      </c>
      <c r="S119" s="401">
        <v>0.80183714891057967</v>
      </c>
      <c r="T119" s="153">
        <v>901</v>
      </c>
      <c r="U119" s="197">
        <v>907729.41419599194</v>
      </c>
      <c r="V119" s="159">
        <v>0</v>
      </c>
      <c r="W119" s="159">
        <v>0</v>
      </c>
      <c r="X119" s="159">
        <v>1027243.7999999999</v>
      </c>
      <c r="Y119" s="159">
        <v>1315512.6606198007</v>
      </c>
      <c r="Z119" s="159">
        <v>0</v>
      </c>
      <c r="AA119" s="155">
        <v>0</v>
      </c>
      <c r="AB119" s="159">
        <v>449004.7963856862</v>
      </c>
      <c r="AC119" s="159">
        <v>760966.58000000007</v>
      </c>
      <c r="AD119" s="174">
        <f>SUM(Muut[[#This Row],[Työttömyysaste]:[Työttömät ja palveluissa olevat ]])</f>
        <v>4460457.2512014788</v>
      </c>
      <c r="AF119" s="62"/>
    </row>
    <row r="120" spans="1:32" s="45" customFormat="1">
      <c r="A120" s="90">
        <v>304</v>
      </c>
      <c r="B120" s="151" t="s">
        <v>119</v>
      </c>
      <c r="C120" s="395">
        <v>949</v>
      </c>
      <c r="D120" s="134">
        <v>29.333333333333332</v>
      </c>
      <c r="E120" s="41">
        <v>417</v>
      </c>
      <c r="F120" s="332">
        <f t="shared" si="3"/>
        <v>7.034372501998401E-2</v>
      </c>
      <c r="G120" s="377">
        <f>Muut[[#This Row],[Keskim. työttömyysaste 2023, %]]/$F$12</f>
        <v>0.71588036973763203</v>
      </c>
      <c r="H120" s="166">
        <v>0</v>
      </c>
      <c r="I120" s="383">
        <v>18</v>
      </c>
      <c r="J120" s="389">
        <v>47</v>
      </c>
      <c r="K120" s="269">
        <v>166.2</v>
      </c>
      <c r="L120" s="170">
        <f t="shared" si="4"/>
        <v>5.7099879663056559</v>
      </c>
      <c r="M120" s="377">
        <v>3.2274042568126222</v>
      </c>
      <c r="N120" s="166">
        <v>1</v>
      </c>
      <c r="O120" s="397">
        <v>0</v>
      </c>
      <c r="P120" s="269">
        <v>215</v>
      </c>
      <c r="Q120" s="15">
        <v>36</v>
      </c>
      <c r="R120" s="158">
        <v>0.16744186046511628</v>
      </c>
      <c r="S120" s="401">
        <v>1.1980221588016389</v>
      </c>
      <c r="T120" s="153">
        <v>44</v>
      </c>
      <c r="U120" s="197">
        <v>46903.737309625125</v>
      </c>
      <c r="V120" s="159">
        <v>0</v>
      </c>
      <c r="W120" s="159">
        <v>0</v>
      </c>
      <c r="X120" s="159">
        <v>83242.17</v>
      </c>
      <c r="Y120" s="159">
        <v>126769.56681781124</v>
      </c>
      <c r="Z120" s="159">
        <v>382769.66</v>
      </c>
      <c r="AA120" s="155">
        <v>0</v>
      </c>
      <c r="AB120" s="159">
        <v>32220.398633436085</v>
      </c>
      <c r="AC120" s="159">
        <v>37161.520000000004</v>
      </c>
      <c r="AD120" s="174">
        <f>SUM(Muut[[#This Row],[Työttömyysaste]:[Työttömät ja palveluissa olevat ]])</f>
        <v>709067.05276087241</v>
      </c>
      <c r="AF120" s="62"/>
    </row>
    <row r="121" spans="1:32" s="45" customFormat="1">
      <c r="A121" s="90">
        <v>305</v>
      </c>
      <c r="B121" s="151" t="s">
        <v>120</v>
      </c>
      <c r="C121" s="395">
        <v>15019</v>
      </c>
      <c r="D121" s="134">
        <v>643.58333333333337</v>
      </c>
      <c r="E121" s="41">
        <v>6523</v>
      </c>
      <c r="F121" s="332">
        <f t="shared" si="3"/>
        <v>9.8663702795237368E-2</v>
      </c>
      <c r="G121" s="377">
        <f>Muut[[#This Row],[Keskim. työttömyysaste 2023, %]]/$F$12</f>
        <v>1.0040896756131783</v>
      </c>
      <c r="H121" s="166">
        <v>0</v>
      </c>
      <c r="I121" s="383">
        <v>42</v>
      </c>
      <c r="J121" s="389">
        <v>595</v>
      </c>
      <c r="K121" s="269">
        <v>4979.18</v>
      </c>
      <c r="L121" s="170">
        <f t="shared" si="4"/>
        <v>3.0163601235544806</v>
      </c>
      <c r="M121" s="377">
        <v>6.1094957876208884</v>
      </c>
      <c r="N121" s="166">
        <v>0</v>
      </c>
      <c r="O121" s="397">
        <v>0</v>
      </c>
      <c r="P121" s="269">
        <v>4043</v>
      </c>
      <c r="Q121" s="15">
        <v>464</v>
      </c>
      <c r="R121" s="158">
        <v>0.11476626267623052</v>
      </c>
      <c r="S121" s="401">
        <v>0.82113591778692596</v>
      </c>
      <c r="T121" s="153">
        <v>973</v>
      </c>
      <c r="U121" s="197">
        <v>1041152.3927378899</v>
      </c>
      <c r="V121" s="159">
        <v>0</v>
      </c>
      <c r="W121" s="159">
        <v>0</v>
      </c>
      <c r="X121" s="159">
        <v>1053810.45</v>
      </c>
      <c r="Y121" s="159">
        <v>3797885.0283267717</v>
      </c>
      <c r="Z121" s="159">
        <v>0</v>
      </c>
      <c r="AA121" s="155">
        <v>0</v>
      </c>
      <c r="AB121" s="159">
        <v>349507.0274975138</v>
      </c>
      <c r="AC121" s="159">
        <v>821776.34000000008</v>
      </c>
      <c r="AD121" s="174">
        <f>SUM(Muut[[#This Row],[Työttömyysaste]:[Työttömät ja palveluissa olevat ]])</f>
        <v>7064131.2385621751</v>
      </c>
      <c r="AF121" s="62"/>
    </row>
    <row r="122" spans="1:32" s="45" customFormat="1">
      <c r="A122" s="90">
        <v>309</v>
      </c>
      <c r="B122" s="151" t="s">
        <v>121</v>
      </c>
      <c r="C122" s="395">
        <v>6409</v>
      </c>
      <c r="D122" s="134">
        <v>422.91666666666669</v>
      </c>
      <c r="E122" s="41">
        <v>2503</v>
      </c>
      <c r="F122" s="332">
        <f t="shared" si="3"/>
        <v>0.16896390997469704</v>
      </c>
      <c r="G122" s="377">
        <f>Muut[[#This Row],[Keskim. työttömyysaste 2023, %]]/$F$12</f>
        <v>1.7195271690636094</v>
      </c>
      <c r="H122" s="166">
        <v>0</v>
      </c>
      <c r="I122" s="383">
        <v>9</v>
      </c>
      <c r="J122" s="389">
        <v>414</v>
      </c>
      <c r="K122" s="269">
        <v>446.25</v>
      </c>
      <c r="L122" s="170">
        <f t="shared" si="4"/>
        <v>14.361904761904762</v>
      </c>
      <c r="M122" s="377">
        <v>1.2831473104936277</v>
      </c>
      <c r="N122" s="166">
        <v>0</v>
      </c>
      <c r="O122" s="397">
        <v>0</v>
      </c>
      <c r="P122" s="269">
        <v>1643</v>
      </c>
      <c r="Q122" s="15">
        <v>265</v>
      </c>
      <c r="R122" s="158">
        <v>0.16129032258064516</v>
      </c>
      <c r="S122" s="401">
        <v>1.1540087999209336</v>
      </c>
      <c r="T122" s="153">
        <v>633</v>
      </c>
      <c r="U122" s="197">
        <v>760851.84221553965</v>
      </c>
      <c r="V122" s="159">
        <v>0</v>
      </c>
      <c r="W122" s="159">
        <v>0</v>
      </c>
      <c r="X122" s="159">
        <v>733239.53999999992</v>
      </c>
      <c r="Y122" s="159">
        <v>340378.57516515203</v>
      </c>
      <c r="Z122" s="159">
        <v>0</v>
      </c>
      <c r="AA122" s="155">
        <v>0</v>
      </c>
      <c r="AB122" s="159">
        <v>209603.84157896708</v>
      </c>
      <c r="AC122" s="159">
        <v>534619.14</v>
      </c>
      <c r="AD122" s="174">
        <f>SUM(Muut[[#This Row],[Työttömyysaste]:[Työttömät ja palveluissa olevat ]])</f>
        <v>2578692.9389596586</v>
      </c>
      <c r="AF122" s="62"/>
    </row>
    <row r="123" spans="1:32" s="45" customFormat="1">
      <c r="A123" s="90">
        <v>312</v>
      </c>
      <c r="B123" s="151" t="s">
        <v>122</v>
      </c>
      <c r="C123" s="395">
        <v>1174</v>
      </c>
      <c r="D123" s="134">
        <v>34.083333333333336</v>
      </c>
      <c r="E123" s="41">
        <v>451</v>
      </c>
      <c r="F123" s="332">
        <f t="shared" si="3"/>
        <v>7.5572801182557284E-2</v>
      </c>
      <c r="G123" s="377">
        <f>Muut[[#This Row],[Keskim. työttömyysaste 2023, %]]/$F$12</f>
        <v>0.76909610398522454</v>
      </c>
      <c r="H123" s="166">
        <v>0</v>
      </c>
      <c r="I123" s="383">
        <v>1</v>
      </c>
      <c r="J123" s="389">
        <v>31</v>
      </c>
      <c r="K123" s="269">
        <v>448.22</v>
      </c>
      <c r="L123" s="170">
        <f t="shared" si="4"/>
        <v>2.6192494757038953</v>
      </c>
      <c r="M123" s="377">
        <v>7.0357709869737679</v>
      </c>
      <c r="N123" s="166">
        <v>0</v>
      </c>
      <c r="O123" s="397">
        <v>0</v>
      </c>
      <c r="P123" s="269">
        <v>253</v>
      </c>
      <c r="Q123" s="15">
        <v>43</v>
      </c>
      <c r="R123" s="158">
        <v>0.16996047430830039</v>
      </c>
      <c r="S123" s="401">
        <v>1.2160424745411893</v>
      </c>
      <c r="T123" s="153">
        <v>54</v>
      </c>
      <c r="U123" s="197">
        <v>62337.515752470252</v>
      </c>
      <c r="V123" s="159">
        <v>0</v>
      </c>
      <c r="W123" s="159">
        <v>0</v>
      </c>
      <c r="X123" s="159">
        <v>54904.409999999996</v>
      </c>
      <c r="Y123" s="159">
        <v>341881.19879109116</v>
      </c>
      <c r="Z123" s="159">
        <v>0</v>
      </c>
      <c r="AA123" s="155">
        <v>0</v>
      </c>
      <c r="AB123" s="159">
        <v>40459.143737255836</v>
      </c>
      <c r="AC123" s="159">
        <v>45607.32</v>
      </c>
      <c r="AD123" s="174">
        <f>SUM(Muut[[#This Row],[Työttömyysaste]:[Työttömät ja palveluissa olevat ]])</f>
        <v>545189.58828081714</v>
      </c>
      <c r="AF123" s="62"/>
    </row>
    <row r="124" spans="1:32" s="45" customFormat="1">
      <c r="A124" s="90">
        <v>316</v>
      </c>
      <c r="B124" s="151" t="s">
        <v>123</v>
      </c>
      <c r="C124" s="395">
        <v>4114</v>
      </c>
      <c r="D124" s="134">
        <v>174.25</v>
      </c>
      <c r="E124" s="41">
        <v>1958</v>
      </c>
      <c r="F124" s="332">
        <f t="shared" si="3"/>
        <v>8.899387129724208E-2</v>
      </c>
      <c r="G124" s="377">
        <f>Muut[[#This Row],[Keskim. työttömyysaste 2023, %]]/$F$12</f>
        <v>0.90568086166255435</v>
      </c>
      <c r="H124" s="166">
        <v>0</v>
      </c>
      <c r="I124" s="383">
        <v>19</v>
      </c>
      <c r="J124" s="389">
        <v>192</v>
      </c>
      <c r="K124" s="269">
        <v>256.5</v>
      </c>
      <c r="L124" s="170">
        <f t="shared" si="4"/>
        <v>16.03898635477583</v>
      </c>
      <c r="M124" s="377">
        <v>1.1489778132591526</v>
      </c>
      <c r="N124" s="166">
        <v>0</v>
      </c>
      <c r="O124" s="397">
        <v>0</v>
      </c>
      <c r="P124" s="269">
        <v>1169</v>
      </c>
      <c r="Q124" s="15">
        <v>258</v>
      </c>
      <c r="R124" s="158">
        <v>0.22070145423438836</v>
      </c>
      <c r="S124" s="401">
        <v>1.5790868061193544</v>
      </c>
      <c r="T124" s="153">
        <v>280</v>
      </c>
      <c r="U124" s="197">
        <v>257241.04231929785</v>
      </c>
      <c r="V124" s="159">
        <v>0</v>
      </c>
      <c r="W124" s="159">
        <v>0</v>
      </c>
      <c r="X124" s="159">
        <v>340053.12</v>
      </c>
      <c r="Y124" s="159">
        <v>195646.17261593608</v>
      </c>
      <c r="Z124" s="159">
        <v>0</v>
      </c>
      <c r="AA124" s="155">
        <v>0</v>
      </c>
      <c r="AB124" s="159">
        <v>184106.93083142818</v>
      </c>
      <c r="AC124" s="159">
        <v>236482.40000000002</v>
      </c>
      <c r="AD124" s="174">
        <f>SUM(Muut[[#This Row],[Työttömyysaste]:[Työttömät ja palveluissa olevat ]])</f>
        <v>1213529.665766662</v>
      </c>
      <c r="AF124" s="62"/>
    </row>
    <row r="125" spans="1:32" s="45" customFormat="1">
      <c r="A125" s="90">
        <v>317</v>
      </c>
      <c r="B125" s="151" t="s">
        <v>124</v>
      </c>
      <c r="C125" s="395">
        <v>2440</v>
      </c>
      <c r="D125" s="134">
        <v>98.583333333333329</v>
      </c>
      <c r="E125" s="41">
        <v>1003</v>
      </c>
      <c r="F125" s="332">
        <f t="shared" si="3"/>
        <v>9.8288467929544696E-2</v>
      </c>
      <c r="G125" s="377">
        <f>Muut[[#This Row],[Keskim. työttömyysaste 2023, %]]/$F$12</f>
        <v>1.0002709515647403</v>
      </c>
      <c r="H125" s="166">
        <v>0</v>
      </c>
      <c r="I125" s="383">
        <v>2</v>
      </c>
      <c r="J125" s="389">
        <v>39</v>
      </c>
      <c r="K125" s="269">
        <v>698.32</v>
      </c>
      <c r="L125" s="170">
        <f t="shared" si="4"/>
        <v>3.4941001260167255</v>
      </c>
      <c r="M125" s="377">
        <v>5.2741589548586125</v>
      </c>
      <c r="N125" s="166">
        <v>0</v>
      </c>
      <c r="O125" s="397">
        <v>0</v>
      </c>
      <c r="P125" s="269">
        <v>578</v>
      </c>
      <c r="Q125" s="15">
        <v>91</v>
      </c>
      <c r="R125" s="158">
        <v>0.157439446366782</v>
      </c>
      <c r="S125" s="401">
        <v>1.1264563406840669</v>
      </c>
      <c r="T125" s="153">
        <v>132</v>
      </c>
      <c r="U125" s="197">
        <v>168503.2438503124</v>
      </c>
      <c r="V125" s="159">
        <v>0</v>
      </c>
      <c r="W125" s="159">
        <v>0</v>
      </c>
      <c r="X125" s="159">
        <v>69073.289999999994</v>
      </c>
      <c r="Y125" s="159">
        <v>532645.75150549901</v>
      </c>
      <c r="Z125" s="159">
        <v>0</v>
      </c>
      <c r="AA125" s="155">
        <v>0</v>
      </c>
      <c r="AB125" s="159">
        <v>77894.005375766952</v>
      </c>
      <c r="AC125" s="159">
        <v>111484.56000000001</v>
      </c>
      <c r="AD125" s="174">
        <f>SUM(Muut[[#This Row],[Työttömyysaste]:[Työttömät ja palveluissa olevat ]])</f>
        <v>959600.85073157842</v>
      </c>
      <c r="AF125" s="62"/>
    </row>
    <row r="126" spans="1:32" s="104" customFormat="1">
      <c r="A126" s="90">
        <v>320</v>
      </c>
      <c r="B126" s="151" t="s">
        <v>125</v>
      </c>
      <c r="C126" s="395">
        <v>7030</v>
      </c>
      <c r="D126" s="134">
        <v>414.66666666666669</v>
      </c>
      <c r="E126" s="41">
        <v>2731</v>
      </c>
      <c r="F126" s="332">
        <f t="shared" si="3"/>
        <v>0.15183693396802148</v>
      </c>
      <c r="G126" s="377">
        <f>Muut[[#This Row],[Keskim. työttömyysaste 2023, %]]/$F$12</f>
        <v>1.5452278138238456</v>
      </c>
      <c r="H126" s="166">
        <v>0</v>
      </c>
      <c r="I126" s="383">
        <v>7</v>
      </c>
      <c r="J126" s="389">
        <v>280</v>
      </c>
      <c r="K126" s="269">
        <v>3503.99</v>
      </c>
      <c r="L126" s="170">
        <f t="shared" si="4"/>
        <v>2.0062842645098873</v>
      </c>
      <c r="M126" s="377">
        <v>9.1853581243660809</v>
      </c>
      <c r="N126" s="166">
        <v>0</v>
      </c>
      <c r="O126" s="397">
        <v>0</v>
      </c>
      <c r="P126" s="269">
        <v>1568</v>
      </c>
      <c r="Q126" s="15">
        <v>224</v>
      </c>
      <c r="R126" s="158">
        <v>0.14285714285714285</v>
      </c>
      <c r="S126" s="401">
        <v>1.0221220799299697</v>
      </c>
      <c r="T126" s="153">
        <v>570</v>
      </c>
      <c r="U126" s="197">
        <v>749978.17371278012</v>
      </c>
      <c r="V126" s="159">
        <v>0</v>
      </c>
      <c r="W126" s="159">
        <v>0</v>
      </c>
      <c r="X126" s="159">
        <v>495910.8</v>
      </c>
      <c r="Y126" s="159">
        <v>2672679.26855561</v>
      </c>
      <c r="Z126" s="159">
        <v>0</v>
      </c>
      <c r="AA126" s="155">
        <v>0</v>
      </c>
      <c r="AB126" s="159">
        <v>203637.58640886383</v>
      </c>
      <c r="AC126" s="159">
        <v>481410.60000000003</v>
      </c>
      <c r="AD126" s="174">
        <f>SUM(Muut[[#This Row],[Työttömyysaste]:[Työttömät ja palveluissa olevat ]])</f>
        <v>4603616.4286772534</v>
      </c>
      <c r="AF126" s="351"/>
    </row>
    <row r="127" spans="1:32" s="45" customFormat="1">
      <c r="A127" s="90">
        <v>322</v>
      </c>
      <c r="B127" s="151" t="s">
        <v>126</v>
      </c>
      <c r="C127" s="395">
        <v>6462</v>
      </c>
      <c r="D127" s="134">
        <v>185.83333333333334</v>
      </c>
      <c r="E127" s="41">
        <v>2748</v>
      </c>
      <c r="F127" s="332">
        <f t="shared" si="3"/>
        <v>6.7624939349830188E-2</v>
      </c>
      <c r="G127" s="377">
        <f>Muut[[#This Row],[Keskim. työttömyysaste 2023, %]]/$F$12</f>
        <v>0.68821158634246549</v>
      </c>
      <c r="H127" s="166">
        <v>3</v>
      </c>
      <c r="I127" s="383">
        <v>4281</v>
      </c>
      <c r="J127" s="389">
        <v>240</v>
      </c>
      <c r="K127" s="269">
        <v>687.13</v>
      </c>
      <c r="L127" s="170">
        <f t="shared" si="4"/>
        <v>9.4043339688268599</v>
      </c>
      <c r="M127" s="377">
        <v>1.9595688041162334</v>
      </c>
      <c r="N127" s="166">
        <v>1</v>
      </c>
      <c r="O127" s="397">
        <v>0</v>
      </c>
      <c r="P127" s="269">
        <v>1671</v>
      </c>
      <c r="Q127" s="15">
        <v>301</v>
      </c>
      <c r="R127" s="158">
        <v>0.180131657690006</v>
      </c>
      <c r="S127" s="401">
        <v>1.2888158123353959</v>
      </c>
      <c r="T127" s="153">
        <v>273</v>
      </c>
      <c r="U127" s="197">
        <v>307036.29462604364</v>
      </c>
      <c r="V127" s="159">
        <v>132553.71360000002</v>
      </c>
      <c r="W127" s="159">
        <v>1166688.9432000003</v>
      </c>
      <c r="X127" s="159">
        <v>425066.39999999997</v>
      </c>
      <c r="Y127" s="159">
        <v>524110.54420892074</v>
      </c>
      <c r="Z127" s="159">
        <v>2606383.0799999996</v>
      </c>
      <c r="AA127" s="155">
        <v>0</v>
      </c>
      <c r="AB127" s="159">
        <v>236024.80926568306</v>
      </c>
      <c r="AC127" s="159">
        <v>230570.34000000003</v>
      </c>
      <c r="AD127" s="174">
        <f>SUM(Muut[[#This Row],[Työttömyysaste]:[Työttömät ja palveluissa olevat ]])</f>
        <v>5628434.1249006474</v>
      </c>
      <c r="AF127" s="62"/>
    </row>
    <row r="128" spans="1:32" s="45" customFormat="1">
      <c r="A128" s="151">
        <v>398</v>
      </c>
      <c r="B128" s="151" t="s">
        <v>127</v>
      </c>
      <c r="C128" s="395">
        <v>120693</v>
      </c>
      <c r="D128" s="134">
        <v>7386.666666666667</v>
      </c>
      <c r="E128" s="41">
        <v>56108</v>
      </c>
      <c r="F128" s="332">
        <f t="shared" si="3"/>
        <v>0.13165086381027066</v>
      </c>
      <c r="G128" s="377">
        <f>Muut[[#This Row],[Keskim. työttömyysaste 2023, %]]/$F$12</f>
        <v>1.3397963931253385</v>
      </c>
      <c r="H128" s="166">
        <v>0</v>
      </c>
      <c r="I128" s="383">
        <v>522</v>
      </c>
      <c r="J128" s="389">
        <v>11259</v>
      </c>
      <c r="K128" s="269">
        <v>459.55</v>
      </c>
      <c r="L128" s="170">
        <f t="shared" si="4"/>
        <v>262.63301055380265</v>
      </c>
      <c r="M128" s="377">
        <v>7.0168024308690222E-2</v>
      </c>
      <c r="N128" s="166">
        <v>0</v>
      </c>
      <c r="O128" s="397">
        <v>0</v>
      </c>
      <c r="P128" s="269">
        <v>37001</v>
      </c>
      <c r="Q128" s="15">
        <v>5701</v>
      </c>
      <c r="R128" s="158">
        <v>0.1540769168400854</v>
      </c>
      <c r="S128" s="401">
        <v>1.1023979309684955</v>
      </c>
      <c r="T128" s="153">
        <v>10240</v>
      </c>
      <c r="U128" s="197">
        <v>11164047.341050897</v>
      </c>
      <c r="V128" s="159">
        <v>0</v>
      </c>
      <c r="W128" s="159">
        <v>0</v>
      </c>
      <c r="X128" s="159">
        <v>19940927.489999998</v>
      </c>
      <c r="Y128" s="159">
        <v>350523.19152301532</v>
      </c>
      <c r="Z128" s="159">
        <v>0</v>
      </c>
      <c r="AA128" s="155">
        <v>0</v>
      </c>
      <c r="AB128" s="159">
        <v>3770685.5600906666</v>
      </c>
      <c r="AC128" s="159">
        <v>8648499.2000000011</v>
      </c>
      <c r="AD128" s="174">
        <f>SUM(Muut[[#This Row],[Työttömyysaste]:[Työttömät ja palveluissa olevat ]])</f>
        <v>43874682.782664582</v>
      </c>
      <c r="AF128" s="62"/>
    </row>
    <row r="129" spans="1:32" s="45" customFormat="1">
      <c r="A129" s="90">
        <v>399</v>
      </c>
      <c r="B129" s="151" t="s">
        <v>128</v>
      </c>
      <c r="C129" s="395">
        <v>7682</v>
      </c>
      <c r="D129" s="134">
        <v>171.08333333333334</v>
      </c>
      <c r="E129" s="41">
        <v>3634</v>
      </c>
      <c r="F129" s="332">
        <f t="shared" si="3"/>
        <v>4.7078517703173735E-2</v>
      </c>
      <c r="G129" s="377">
        <f>Muut[[#This Row],[Keskim. työttömyysaste 2023, %]]/$F$12</f>
        <v>0.47911290808772311</v>
      </c>
      <c r="H129" s="166">
        <v>0</v>
      </c>
      <c r="I129" s="383">
        <v>84</v>
      </c>
      <c r="J129" s="389">
        <v>142</v>
      </c>
      <c r="K129" s="269">
        <v>505.16</v>
      </c>
      <c r="L129" s="170">
        <f t="shared" si="4"/>
        <v>15.20706310871803</v>
      </c>
      <c r="M129" s="377">
        <v>1.2118342205234167</v>
      </c>
      <c r="N129" s="166">
        <v>0</v>
      </c>
      <c r="O129" s="397">
        <v>0</v>
      </c>
      <c r="P129" s="269">
        <v>2487</v>
      </c>
      <c r="Q129" s="15">
        <v>204</v>
      </c>
      <c r="R129" s="158">
        <v>8.2026537997587454E-2</v>
      </c>
      <c r="S129" s="401">
        <v>0.5868879493928415</v>
      </c>
      <c r="T129" s="153">
        <v>263</v>
      </c>
      <c r="U129" s="197">
        <v>254104.85164955954</v>
      </c>
      <c r="V129" s="159">
        <v>0</v>
      </c>
      <c r="W129" s="159">
        <v>0</v>
      </c>
      <c r="X129" s="159">
        <v>251497.62</v>
      </c>
      <c r="Y129" s="159">
        <v>385312.36085250013</v>
      </c>
      <c r="Z129" s="159">
        <v>0</v>
      </c>
      <c r="AA129" s="155">
        <v>0</v>
      </c>
      <c r="AB129" s="159">
        <v>127770.13125986281</v>
      </c>
      <c r="AC129" s="159">
        <v>222124.54</v>
      </c>
      <c r="AD129" s="174">
        <f>SUM(Muut[[#This Row],[Työttömyysaste]:[Työttömät ja palveluissa olevat ]])</f>
        <v>1240809.5037619225</v>
      </c>
      <c r="AF129" s="62"/>
    </row>
    <row r="130" spans="1:32" s="45" customFormat="1">
      <c r="A130" s="90">
        <v>400</v>
      </c>
      <c r="B130" s="151" t="s">
        <v>129</v>
      </c>
      <c r="C130" s="395">
        <v>8441</v>
      </c>
      <c r="D130" s="134">
        <v>271.33333333333331</v>
      </c>
      <c r="E130" s="41">
        <v>3940</v>
      </c>
      <c r="F130" s="332">
        <f t="shared" si="3"/>
        <v>6.8866328257191203E-2</v>
      </c>
      <c r="G130" s="377">
        <f>Muut[[#This Row],[Keskim. työttömyysaste 2023, %]]/$F$12</f>
        <v>0.70084506501788868</v>
      </c>
      <c r="H130" s="166">
        <v>0</v>
      </c>
      <c r="I130" s="383">
        <v>24</v>
      </c>
      <c r="J130" s="389">
        <v>1005</v>
      </c>
      <c r="K130" s="269">
        <v>532.02</v>
      </c>
      <c r="L130" s="170">
        <f t="shared" si="4"/>
        <v>15.865944889289876</v>
      </c>
      <c r="M130" s="377">
        <v>1.1615091062898892</v>
      </c>
      <c r="N130" s="166">
        <v>0</v>
      </c>
      <c r="O130" s="397">
        <v>0</v>
      </c>
      <c r="P130" s="269">
        <v>2650</v>
      </c>
      <c r="Q130" s="15">
        <v>560</v>
      </c>
      <c r="R130" s="158">
        <v>0.21132075471698114</v>
      </c>
      <c r="S130" s="401">
        <v>1.5119692654058421</v>
      </c>
      <c r="T130" s="153">
        <v>449</v>
      </c>
      <c r="U130" s="197">
        <v>408429.12370105652</v>
      </c>
      <c r="V130" s="159">
        <v>0</v>
      </c>
      <c r="W130" s="159">
        <v>0</v>
      </c>
      <c r="X130" s="159">
        <v>1779965.5499999998</v>
      </c>
      <c r="Y130" s="159">
        <v>405799.90937672643</v>
      </c>
      <c r="Z130" s="159">
        <v>0</v>
      </c>
      <c r="AA130" s="155">
        <v>0</v>
      </c>
      <c r="AB130" s="159">
        <v>361690.17301369883</v>
      </c>
      <c r="AC130" s="159">
        <v>379216.42000000004</v>
      </c>
      <c r="AD130" s="174">
        <f>SUM(Muut[[#This Row],[Työttömyysaste]:[Työttömät ja palveluissa olevat ]])</f>
        <v>3335101.1760914815</v>
      </c>
      <c r="AF130" s="62"/>
    </row>
    <row r="131" spans="1:32" s="45" customFormat="1">
      <c r="A131" s="90">
        <v>402</v>
      </c>
      <c r="B131" s="151" t="s">
        <v>130</v>
      </c>
      <c r="C131" s="395">
        <v>8975</v>
      </c>
      <c r="D131" s="134">
        <v>398.16666666666669</v>
      </c>
      <c r="E131" s="41">
        <v>4015</v>
      </c>
      <c r="F131" s="332">
        <f t="shared" si="3"/>
        <v>9.9169779991697807E-2</v>
      </c>
      <c r="G131" s="377">
        <f>Muut[[#This Row],[Keskim. työttömyysaste 2023, %]]/$F$12</f>
        <v>1.0092399677026997</v>
      </c>
      <c r="H131" s="166">
        <v>0</v>
      </c>
      <c r="I131" s="383">
        <v>11</v>
      </c>
      <c r="J131" s="389">
        <v>257</v>
      </c>
      <c r="K131" s="269">
        <v>1096.8800000000001</v>
      </c>
      <c r="L131" s="170">
        <f t="shared" si="4"/>
        <v>8.1822988841076505</v>
      </c>
      <c r="M131" s="377">
        <v>2.2522324996703538</v>
      </c>
      <c r="N131" s="166">
        <v>0</v>
      </c>
      <c r="O131" s="397">
        <v>0</v>
      </c>
      <c r="P131" s="269">
        <v>2521</v>
      </c>
      <c r="Q131" s="15">
        <v>336</v>
      </c>
      <c r="R131" s="158">
        <v>0.13328044426814756</v>
      </c>
      <c r="S131" s="401">
        <v>0.9536021943654458</v>
      </c>
      <c r="T131" s="153">
        <v>583</v>
      </c>
      <c r="U131" s="197">
        <v>625359.39814749465</v>
      </c>
      <c r="V131" s="159">
        <v>0</v>
      </c>
      <c r="W131" s="159">
        <v>0</v>
      </c>
      <c r="X131" s="159">
        <v>455175.26999999996</v>
      </c>
      <c r="Y131" s="159">
        <v>836648.63087316963</v>
      </c>
      <c r="Z131" s="159">
        <v>0</v>
      </c>
      <c r="AA131" s="155">
        <v>0</v>
      </c>
      <c r="AB131" s="159">
        <v>242550.14854014269</v>
      </c>
      <c r="AC131" s="159">
        <v>492390.14</v>
      </c>
      <c r="AD131" s="174">
        <f>SUM(Muut[[#This Row],[Työttömyysaste]:[Työttömät ja palveluissa olevat ]])</f>
        <v>2652123.5875608069</v>
      </c>
      <c r="AF131" s="62"/>
    </row>
    <row r="132" spans="1:32" s="45" customFormat="1">
      <c r="A132" s="90">
        <v>403</v>
      </c>
      <c r="B132" s="151" t="s">
        <v>131</v>
      </c>
      <c r="C132" s="395">
        <v>2789</v>
      </c>
      <c r="D132" s="134">
        <v>65.416666666666671</v>
      </c>
      <c r="E132" s="41">
        <v>1055</v>
      </c>
      <c r="F132" s="332">
        <f t="shared" si="3"/>
        <v>6.2006319115323859E-2</v>
      </c>
      <c r="G132" s="377">
        <f>Muut[[#This Row],[Keskim. työttömyysaste 2023, %]]/$F$12</f>
        <v>0.63103150482487391</v>
      </c>
      <c r="H132" s="166">
        <v>0</v>
      </c>
      <c r="I132" s="383">
        <v>11</v>
      </c>
      <c r="J132" s="389">
        <v>166</v>
      </c>
      <c r="K132" s="269">
        <v>420.88</v>
      </c>
      <c r="L132" s="170">
        <f t="shared" si="4"/>
        <v>6.626591902680099</v>
      </c>
      <c r="M132" s="377">
        <v>2.7809830059627498</v>
      </c>
      <c r="N132" s="166">
        <v>0</v>
      </c>
      <c r="O132" s="397">
        <v>0</v>
      </c>
      <c r="P132" s="269">
        <v>651</v>
      </c>
      <c r="Q132" s="15">
        <v>87</v>
      </c>
      <c r="R132" s="158">
        <v>0.13364055299539171</v>
      </c>
      <c r="S132" s="401">
        <v>0.95617871993448789</v>
      </c>
      <c r="T132" s="153">
        <v>99</v>
      </c>
      <c r="U132" s="197">
        <v>121506.73169468185</v>
      </c>
      <c r="V132" s="159">
        <v>0</v>
      </c>
      <c r="W132" s="159">
        <v>0</v>
      </c>
      <c r="X132" s="159">
        <v>294004.26</v>
      </c>
      <c r="Y132" s="159">
        <v>321027.52877425024</v>
      </c>
      <c r="Z132" s="159">
        <v>0</v>
      </c>
      <c r="AA132" s="155">
        <v>0</v>
      </c>
      <c r="AB132" s="159">
        <v>75576.614630089112</v>
      </c>
      <c r="AC132" s="159">
        <v>83613.42</v>
      </c>
      <c r="AD132" s="174">
        <f>SUM(Muut[[#This Row],[Työttömyysaste]:[Työttömät ja palveluissa olevat ]])</f>
        <v>895728.55509902129</v>
      </c>
      <c r="AF132" s="62"/>
    </row>
    <row r="133" spans="1:32" s="45" customFormat="1">
      <c r="A133" s="90">
        <v>405</v>
      </c>
      <c r="B133" s="151" t="s">
        <v>132</v>
      </c>
      <c r="C133" s="395">
        <v>72988</v>
      </c>
      <c r="D133" s="134">
        <v>3550.3333333333335</v>
      </c>
      <c r="E133" s="41">
        <v>33075</v>
      </c>
      <c r="F133" s="332">
        <f t="shared" si="3"/>
        <v>0.1073418997228521</v>
      </c>
      <c r="G133" s="377">
        <f>Muut[[#This Row],[Keskim. työttömyysaste 2023, %]]/$F$12</f>
        <v>1.0924067333668286</v>
      </c>
      <c r="H133" s="166">
        <v>0</v>
      </c>
      <c r="I133" s="383">
        <v>121</v>
      </c>
      <c r="J133" s="389">
        <v>7228</v>
      </c>
      <c r="K133" s="269">
        <v>1434.05</v>
      </c>
      <c r="L133" s="170">
        <f t="shared" si="4"/>
        <v>50.896412258986786</v>
      </c>
      <c r="M133" s="377">
        <v>0.36207737738036355</v>
      </c>
      <c r="N133" s="166">
        <v>0</v>
      </c>
      <c r="O133" s="397">
        <v>0</v>
      </c>
      <c r="P133" s="269">
        <v>21694</v>
      </c>
      <c r="Q133" s="15">
        <v>2731</v>
      </c>
      <c r="R133" s="158">
        <v>0.12588734212224578</v>
      </c>
      <c r="S133" s="401">
        <v>0.90070562376791885</v>
      </c>
      <c r="T133" s="153">
        <v>5078</v>
      </c>
      <c r="U133" s="197">
        <v>5504737.5064996872</v>
      </c>
      <c r="V133" s="159">
        <v>0</v>
      </c>
      <c r="W133" s="159">
        <v>0</v>
      </c>
      <c r="X133" s="159">
        <v>12801583.08</v>
      </c>
      <c r="Y133" s="159">
        <v>1093826.0968416499</v>
      </c>
      <c r="Z133" s="159">
        <v>0</v>
      </c>
      <c r="AA133" s="155">
        <v>0</v>
      </c>
      <c r="AB133" s="159">
        <v>1863091.4965950148</v>
      </c>
      <c r="AC133" s="159">
        <v>4288777.24</v>
      </c>
      <c r="AD133" s="174">
        <f>SUM(Muut[[#This Row],[Työttömyysaste]:[Työttömät ja palveluissa olevat ]])</f>
        <v>25552015.419936351</v>
      </c>
      <c r="AF133" s="62"/>
    </row>
    <row r="134" spans="1:32" s="45" customFormat="1">
      <c r="A134" s="90">
        <v>407</v>
      </c>
      <c r="B134" s="151" t="s">
        <v>133</v>
      </c>
      <c r="C134" s="395">
        <v>2449</v>
      </c>
      <c r="D134" s="134">
        <v>99.583333333333329</v>
      </c>
      <c r="E134" s="41">
        <v>1162</v>
      </c>
      <c r="F134" s="332">
        <f t="shared" si="3"/>
        <v>8.5699942627653472E-2</v>
      </c>
      <c r="G134" s="377">
        <f>Muut[[#This Row],[Keskim. työttömyysaste 2023, %]]/$F$12</f>
        <v>0.87215891108054322</v>
      </c>
      <c r="H134" s="166">
        <v>1</v>
      </c>
      <c r="I134" s="383">
        <v>735</v>
      </c>
      <c r="J134" s="389">
        <v>172</v>
      </c>
      <c r="K134" s="269">
        <v>329.89</v>
      </c>
      <c r="L134" s="170">
        <f t="shared" si="4"/>
        <v>7.4236866834399349</v>
      </c>
      <c r="M134" s="377">
        <v>2.482383787816929</v>
      </c>
      <c r="N134" s="166">
        <v>0</v>
      </c>
      <c r="O134" s="397">
        <v>0</v>
      </c>
      <c r="P134" s="269">
        <v>701</v>
      </c>
      <c r="Q134" s="15">
        <v>163</v>
      </c>
      <c r="R134" s="158">
        <v>0.23252496433666192</v>
      </c>
      <c r="S134" s="401">
        <v>1.6636823012840165</v>
      </c>
      <c r="T134" s="153">
        <v>134</v>
      </c>
      <c r="U134" s="197">
        <v>147463.72164023074</v>
      </c>
      <c r="V134" s="159">
        <v>50235.847200000004</v>
      </c>
      <c r="W134" s="159">
        <v>200307.49200000003</v>
      </c>
      <c r="X134" s="159">
        <v>304630.92</v>
      </c>
      <c r="Y134" s="159">
        <v>251624.62333049186</v>
      </c>
      <c r="Z134" s="159">
        <v>0</v>
      </c>
      <c r="AA134" s="155">
        <v>0</v>
      </c>
      <c r="AB134" s="159">
        <v>115467.30446863473</v>
      </c>
      <c r="AC134" s="159">
        <v>113173.72</v>
      </c>
      <c r="AD134" s="174">
        <f>SUM(Muut[[#This Row],[Työttömyysaste]:[Työttömät ja palveluissa olevat ]])</f>
        <v>1182903.6286393574</v>
      </c>
      <c r="AF134" s="62"/>
    </row>
    <row r="135" spans="1:32" s="45" customFormat="1">
      <c r="A135" s="90">
        <v>408</v>
      </c>
      <c r="B135" s="151" t="s">
        <v>134</v>
      </c>
      <c r="C135" s="395">
        <v>14024</v>
      </c>
      <c r="D135" s="134">
        <v>390.66666666666669</v>
      </c>
      <c r="E135" s="41">
        <v>6235</v>
      </c>
      <c r="F135" s="332">
        <f t="shared" si="3"/>
        <v>6.2657043571237636E-2</v>
      </c>
      <c r="G135" s="377">
        <f>Muut[[#This Row],[Keskim. työttömyysaste 2023, %]]/$F$12</f>
        <v>0.6376538561997056</v>
      </c>
      <c r="H135" s="166">
        <v>0</v>
      </c>
      <c r="I135" s="383">
        <v>24</v>
      </c>
      <c r="J135" s="389">
        <v>545</v>
      </c>
      <c r="K135" s="269">
        <v>737.27</v>
      </c>
      <c r="L135" s="170">
        <f t="shared" si="4"/>
        <v>19.021525357060508</v>
      </c>
      <c r="M135" s="377">
        <v>0.96882027717947217</v>
      </c>
      <c r="N135" s="166">
        <v>0</v>
      </c>
      <c r="O135" s="397">
        <v>0</v>
      </c>
      <c r="P135" s="269">
        <v>4211</v>
      </c>
      <c r="Q135" s="15">
        <v>422</v>
      </c>
      <c r="R135" s="158">
        <v>0.10021372595582997</v>
      </c>
      <c r="S135" s="401">
        <v>0.71701463408053445</v>
      </c>
      <c r="T135" s="153">
        <v>605</v>
      </c>
      <c r="U135" s="197">
        <v>617387.27818195615</v>
      </c>
      <c r="V135" s="159">
        <v>0</v>
      </c>
      <c r="W135" s="159">
        <v>0</v>
      </c>
      <c r="X135" s="159">
        <v>965254.95</v>
      </c>
      <c r="Y135" s="159">
        <v>562354.985124956</v>
      </c>
      <c r="Z135" s="159">
        <v>0</v>
      </c>
      <c r="AA135" s="155">
        <v>0</v>
      </c>
      <c r="AB135" s="159">
        <v>284970.41089130903</v>
      </c>
      <c r="AC135" s="159">
        <v>510970.9</v>
      </c>
      <c r="AD135" s="174">
        <f>SUM(Muut[[#This Row],[Työttömyysaste]:[Työttömät ja palveluissa olevat ]])</f>
        <v>2940938.524198221</v>
      </c>
      <c r="AF135" s="62"/>
    </row>
    <row r="136" spans="1:32" s="45" customFormat="1">
      <c r="A136" s="90">
        <v>410</v>
      </c>
      <c r="B136" s="151" t="s">
        <v>135</v>
      </c>
      <c r="C136" s="395">
        <v>18762</v>
      </c>
      <c r="D136" s="134">
        <v>853.16666666666663</v>
      </c>
      <c r="E136" s="41">
        <v>8460</v>
      </c>
      <c r="F136" s="332">
        <f t="shared" si="3"/>
        <v>0.10084712371946414</v>
      </c>
      <c r="G136" s="377">
        <f>Muut[[#This Row],[Keskim. työttömyysaste 2023, %]]/$F$12</f>
        <v>1.0263101107420303</v>
      </c>
      <c r="H136" s="166">
        <v>0</v>
      </c>
      <c r="I136" s="383">
        <v>26</v>
      </c>
      <c r="J136" s="389">
        <v>371</v>
      </c>
      <c r="K136" s="269">
        <v>648.5</v>
      </c>
      <c r="L136" s="170">
        <f t="shared" si="4"/>
        <v>28.931380107941404</v>
      </c>
      <c r="M136" s="377">
        <v>0.6369706318899484</v>
      </c>
      <c r="N136" s="166">
        <v>0</v>
      </c>
      <c r="O136" s="397">
        <v>0</v>
      </c>
      <c r="P136" s="269">
        <v>5974</v>
      </c>
      <c r="Q136" s="15">
        <v>486</v>
      </c>
      <c r="R136" s="158">
        <v>8.1352527619685297E-2</v>
      </c>
      <c r="S136" s="401">
        <v>0.58206550316735128</v>
      </c>
      <c r="T136" s="153">
        <v>1205</v>
      </c>
      <c r="U136" s="197">
        <v>1329408.715756106</v>
      </c>
      <c r="V136" s="159">
        <v>0</v>
      </c>
      <c r="W136" s="159">
        <v>0</v>
      </c>
      <c r="X136" s="159">
        <v>657081.80999999994</v>
      </c>
      <c r="Y136" s="159">
        <v>494645.39158454019</v>
      </c>
      <c r="Z136" s="159">
        <v>0</v>
      </c>
      <c r="AA136" s="155">
        <v>0</v>
      </c>
      <c r="AB136" s="159">
        <v>309493.0055818684</v>
      </c>
      <c r="AC136" s="159">
        <v>1017718.9</v>
      </c>
      <c r="AD136" s="174">
        <f>SUM(Muut[[#This Row],[Työttömyysaste]:[Työttömät ja palveluissa olevat ]])</f>
        <v>3808347.8229225143</v>
      </c>
      <c r="AF136" s="62"/>
    </row>
    <row r="137" spans="1:32" s="45" customFormat="1">
      <c r="A137" s="90">
        <v>416</v>
      </c>
      <c r="B137" s="151" t="s">
        <v>136</v>
      </c>
      <c r="C137" s="395">
        <v>2862</v>
      </c>
      <c r="D137" s="134">
        <v>110.41666666666667</v>
      </c>
      <c r="E137" s="41">
        <v>1311</v>
      </c>
      <c r="F137" s="332">
        <f t="shared" si="3"/>
        <v>8.4223239257564197E-2</v>
      </c>
      <c r="G137" s="377">
        <f>Muut[[#This Row],[Keskim. työttömyysaste 2023, %]]/$F$12</f>
        <v>0.85713066294224816</v>
      </c>
      <c r="H137" s="166">
        <v>0</v>
      </c>
      <c r="I137" s="383">
        <v>4</v>
      </c>
      <c r="J137" s="389">
        <v>70</v>
      </c>
      <c r="K137" s="269">
        <v>218.01</v>
      </c>
      <c r="L137" s="170">
        <f t="shared" si="4"/>
        <v>13.127838172560892</v>
      </c>
      <c r="M137" s="377">
        <v>1.4037680253647444</v>
      </c>
      <c r="N137" s="166">
        <v>0</v>
      </c>
      <c r="O137" s="397">
        <v>0</v>
      </c>
      <c r="P137" s="269">
        <v>853</v>
      </c>
      <c r="Q137" s="15">
        <v>97</v>
      </c>
      <c r="R137" s="158">
        <v>0.11371629542790153</v>
      </c>
      <c r="S137" s="401">
        <v>0.81362355483288329</v>
      </c>
      <c r="T137" s="153">
        <v>135</v>
      </c>
      <c r="U137" s="197">
        <v>169362.57337480292</v>
      </c>
      <c r="V137" s="159">
        <v>0</v>
      </c>
      <c r="W137" s="159">
        <v>0</v>
      </c>
      <c r="X137" s="159">
        <v>123977.7</v>
      </c>
      <c r="Y137" s="159">
        <v>166287.80542690147</v>
      </c>
      <c r="Z137" s="159">
        <v>0</v>
      </c>
      <c r="AA137" s="155">
        <v>0</v>
      </c>
      <c r="AB137" s="159">
        <v>65992.257998824716</v>
      </c>
      <c r="AC137" s="159">
        <v>114018.3</v>
      </c>
      <c r="AD137" s="174">
        <f>SUM(Muut[[#This Row],[Työttömyysaste]:[Työttömät ja palveluissa olevat ]])</f>
        <v>639638.63680052909</v>
      </c>
      <c r="AF137" s="62"/>
    </row>
    <row r="138" spans="1:32" s="45" customFormat="1">
      <c r="A138" s="90">
        <v>418</v>
      </c>
      <c r="B138" s="151" t="s">
        <v>137</v>
      </c>
      <c r="C138" s="395">
        <v>24711</v>
      </c>
      <c r="D138" s="134">
        <v>743.08333333333337</v>
      </c>
      <c r="E138" s="41">
        <v>11791</v>
      </c>
      <c r="F138" s="332">
        <f t="shared" si="3"/>
        <v>6.3021230882311374E-2</v>
      </c>
      <c r="G138" s="377">
        <f>Muut[[#This Row],[Keskim. työttömyysaste 2023, %]]/$F$12</f>
        <v>0.64136015049718786</v>
      </c>
      <c r="H138" s="166">
        <v>0</v>
      </c>
      <c r="I138" s="383">
        <v>78</v>
      </c>
      <c r="J138" s="389">
        <v>782</v>
      </c>
      <c r="K138" s="269">
        <v>269.58</v>
      </c>
      <c r="L138" s="170">
        <f t="shared" si="4"/>
        <v>91.664811929668375</v>
      </c>
      <c r="M138" s="377">
        <v>0.20104158925175455</v>
      </c>
      <c r="N138" s="166">
        <v>0</v>
      </c>
      <c r="O138" s="397">
        <v>0</v>
      </c>
      <c r="P138" s="269">
        <v>8653</v>
      </c>
      <c r="Q138" s="15">
        <v>572</v>
      </c>
      <c r="R138" s="158">
        <v>6.610424130359413E-2</v>
      </c>
      <c r="S138" s="401">
        <v>0.47296623229395574</v>
      </c>
      <c r="T138" s="153">
        <v>1145</v>
      </c>
      <c r="U138" s="197">
        <v>1094190.8428737421</v>
      </c>
      <c r="V138" s="159">
        <v>0</v>
      </c>
      <c r="W138" s="159">
        <v>0</v>
      </c>
      <c r="X138" s="159">
        <v>1385008.02</v>
      </c>
      <c r="Y138" s="159">
        <v>205622.9832896844</v>
      </c>
      <c r="Z138" s="159">
        <v>0</v>
      </c>
      <c r="AA138" s="155">
        <v>0</v>
      </c>
      <c r="AB138" s="159">
        <v>331222.85916655976</v>
      </c>
      <c r="AC138" s="159">
        <v>967044.10000000009</v>
      </c>
      <c r="AD138" s="174">
        <f>SUM(Muut[[#This Row],[Työttömyysaste]:[Työttömät ja palveluissa olevat ]])</f>
        <v>3983088.8053299864</v>
      </c>
      <c r="AF138" s="62"/>
    </row>
    <row r="139" spans="1:32" s="45" customFormat="1">
      <c r="A139" s="90">
        <v>420</v>
      </c>
      <c r="B139" s="151" t="s">
        <v>138</v>
      </c>
      <c r="C139" s="395">
        <v>9049</v>
      </c>
      <c r="D139" s="134">
        <v>324.91666666666669</v>
      </c>
      <c r="E139" s="41">
        <v>3971</v>
      </c>
      <c r="F139" s="332">
        <f t="shared" si="3"/>
        <v>8.1822378913791655E-2</v>
      </c>
      <c r="G139" s="377">
        <f>Muut[[#This Row],[Keskim. työttömyysaste 2023, %]]/$F$12</f>
        <v>0.83269737070331662</v>
      </c>
      <c r="H139" s="166">
        <v>0</v>
      </c>
      <c r="I139" s="383">
        <v>13</v>
      </c>
      <c r="J139" s="389">
        <v>243</v>
      </c>
      <c r="K139" s="269">
        <v>1136.26</v>
      </c>
      <c r="L139" s="170">
        <f t="shared" si="4"/>
        <v>7.9638463027828141</v>
      </c>
      <c r="M139" s="377">
        <v>2.3140124467701311</v>
      </c>
      <c r="N139" s="166">
        <v>0</v>
      </c>
      <c r="O139" s="397">
        <v>0</v>
      </c>
      <c r="P139" s="269">
        <v>2390</v>
      </c>
      <c r="Q139" s="15">
        <v>271</v>
      </c>
      <c r="R139" s="158">
        <v>0.11338912133891213</v>
      </c>
      <c r="S139" s="401">
        <v>0.81128267181052405</v>
      </c>
      <c r="T139" s="153">
        <v>439</v>
      </c>
      <c r="U139" s="197">
        <v>520221.82015740738</v>
      </c>
      <c r="V139" s="159">
        <v>0</v>
      </c>
      <c r="W139" s="159">
        <v>0</v>
      </c>
      <c r="X139" s="159">
        <v>430379.73</v>
      </c>
      <c r="Y139" s="159">
        <v>866685.84832976048</v>
      </c>
      <c r="Z139" s="159">
        <v>0</v>
      </c>
      <c r="AA139" s="155">
        <v>0</v>
      </c>
      <c r="AB139" s="159">
        <v>208052.35406702867</v>
      </c>
      <c r="AC139" s="159">
        <v>370770.62</v>
      </c>
      <c r="AD139" s="174">
        <f>SUM(Muut[[#This Row],[Työttömyysaste]:[Työttömät ja palveluissa olevat ]])</f>
        <v>2396110.3725541965</v>
      </c>
      <c r="AF139" s="62"/>
    </row>
    <row r="140" spans="1:32" s="45" customFormat="1">
      <c r="A140" s="90">
        <v>421</v>
      </c>
      <c r="B140" s="151" t="s">
        <v>139</v>
      </c>
      <c r="C140" s="395">
        <v>682</v>
      </c>
      <c r="D140" s="134">
        <v>18</v>
      </c>
      <c r="E140" s="41">
        <v>270</v>
      </c>
      <c r="F140" s="332">
        <f t="shared" si="3"/>
        <v>6.6666666666666666E-2</v>
      </c>
      <c r="G140" s="377">
        <f>Muut[[#This Row],[Keskim. työttömyysaste 2023, %]]/$F$12</f>
        <v>0.67845935041043759</v>
      </c>
      <c r="H140" s="166">
        <v>0</v>
      </c>
      <c r="I140" s="383">
        <v>1</v>
      </c>
      <c r="J140" s="389">
        <v>10</v>
      </c>
      <c r="K140" s="269">
        <v>480.08</v>
      </c>
      <c r="L140" s="170">
        <f t="shared" si="4"/>
        <v>1.4205965672387937</v>
      </c>
      <c r="M140" s="377">
        <v>12.972324369770218</v>
      </c>
      <c r="N140" s="166">
        <v>0</v>
      </c>
      <c r="O140" s="397">
        <v>0</v>
      </c>
      <c r="P140" s="269">
        <v>152</v>
      </c>
      <c r="Q140" s="15">
        <v>15</v>
      </c>
      <c r="R140" s="158">
        <v>9.8684210526315791E-2</v>
      </c>
      <c r="S140" s="401">
        <v>0.70607117363583438</v>
      </c>
      <c r="T140" s="153">
        <v>25</v>
      </c>
      <c r="U140" s="197">
        <v>31945.448482693573</v>
      </c>
      <c r="V140" s="159">
        <v>0</v>
      </c>
      <c r="W140" s="159">
        <v>0</v>
      </c>
      <c r="X140" s="159">
        <v>17711.099999999999</v>
      </c>
      <c r="Y140" s="159">
        <v>366182.51286338631</v>
      </c>
      <c r="Z140" s="159">
        <v>0</v>
      </c>
      <c r="AA140" s="155">
        <v>0</v>
      </c>
      <c r="AB140" s="159">
        <v>13646.85891549257</v>
      </c>
      <c r="AC140" s="159">
        <v>21114.5</v>
      </c>
      <c r="AD140" s="174">
        <f>SUM(Muut[[#This Row],[Työttömyysaste]:[Työttömät ja palveluissa olevat ]])</f>
        <v>450600.42026157241</v>
      </c>
      <c r="AF140" s="62"/>
    </row>
    <row r="141" spans="1:32" s="45" customFormat="1">
      <c r="A141" s="90">
        <v>422</v>
      </c>
      <c r="B141" s="151" t="s">
        <v>140</v>
      </c>
      <c r="C141" s="395">
        <v>10228</v>
      </c>
      <c r="D141" s="134">
        <v>669.33333333333337</v>
      </c>
      <c r="E141" s="41">
        <v>3943</v>
      </c>
      <c r="F141" s="332">
        <f t="shared" ref="F141:F204" si="5">D141/E141</f>
        <v>0.1697523036604954</v>
      </c>
      <c r="G141" s="377">
        <f>Muut[[#This Row],[Keskim. työttömyysaste 2023, %]]/$F$12</f>
        <v>1.7275505650826259</v>
      </c>
      <c r="H141" s="166">
        <v>0</v>
      </c>
      <c r="I141" s="383">
        <v>9</v>
      </c>
      <c r="J141" s="389">
        <v>587</v>
      </c>
      <c r="K141" s="269">
        <v>3417.83</v>
      </c>
      <c r="L141" s="170">
        <f t="shared" si="4"/>
        <v>2.9925420515356236</v>
      </c>
      <c r="M141" s="377">
        <v>6.1581221421256762</v>
      </c>
      <c r="N141" s="166">
        <v>3</v>
      </c>
      <c r="O141" s="397">
        <v>239</v>
      </c>
      <c r="P141" s="269">
        <v>2361</v>
      </c>
      <c r="Q141" s="15">
        <v>420</v>
      </c>
      <c r="R141" s="158">
        <v>0.17789072426937738</v>
      </c>
      <c r="S141" s="401">
        <v>1.2727822596332532</v>
      </c>
      <c r="T141" s="153">
        <v>911</v>
      </c>
      <c r="U141" s="197">
        <v>1219894.4908840787</v>
      </c>
      <c r="V141" s="159">
        <v>0</v>
      </c>
      <c r="W141" s="159">
        <v>0</v>
      </c>
      <c r="X141" s="159">
        <v>1039641.57</v>
      </c>
      <c r="Y141" s="159">
        <v>2606960.4606312863</v>
      </c>
      <c r="Z141" s="159">
        <v>0</v>
      </c>
      <c r="AA141" s="155">
        <v>70514.559999999998</v>
      </c>
      <c r="AB141" s="159">
        <v>368930.60040632944</v>
      </c>
      <c r="AC141" s="159">
        <v>769412.38</v>
      </c>
      <c r="AD141" s="174">
        <f>SUM(Muut[[#This Row],[Työttömyysaste]:[Työttömät ja palveluissa olevat ]])</f>
        <v>6075354.0619216934</v>
      </c>
      <c r="AF141" s="62"/>
    </row>
    <row r="142" spans="1:32" s="45" customFormat="1">
      <c r="A142" s="151">
        <v>423</v>
      </c>
      <c r="B142" s="151" t="s">
        <v>141</v>
      </c>
      <c r="C142" s="395">
        <v>20637</v>
      </c>
      <c r="D142" s="134">
        <v>490.83333333333331</v>
      </c>
      <c r="E142" s="41">
        <v>10002</v>
      </c>
      <c r="F142" s="332">
        <f t="shared" si="5"/>
        <v>4.9073518629607411E-2</v>
      </c>
      <c r="G142" s="377">
        <f>Muut[[#This Row],[Keskim. työttömyysaste 2023, %]]/$F$12</f>
        <v>0.49941581357696935</v>
      </c>
      <c r="H142" s="166">
        <v>0</v>
      </c>
      <c r="I142" s="383">
        <v>303</v>
      </c>
      <c r="J142" s="389">
        <v>936</v>
      </c>
      <c r="K142" s="269">
        <v>300.52999999999997</v>
      </c>
      <c r="L142" s="170">
        <f t="shared" ref="L142:L205" si="6">C142/K142</f>
        <v>68.668685322596758</v>
      </c>
      <c r="M142" s="377">
        <v>0.26836744263020695</v>
      </c>
      <c r="N142" s="166">
        <v>0</v>
      </c>
      <c r="O142" s="397">
        <v>0</v>
      </c>
      <c r="P142" s="269">
        <v>7104</v>
      </c>
      <c r="Q142" s="15">
        <v>599</v>
      </c>
      <c r="R142" s="158">
        <v>8.43186936936937E-2</v>
      </c>
      <c r="S142" s="401">
        <v>0.60328799002623357</v>
      </c>
      <c r="T142" s="153">
        <v>756</v>
      </c>
      <c r="U142" s="197">
        <v>711556.90375615784</v>
      </c>
      <c r="V142" s="159">
        <v>0</v>
      </c>
      <c r="W142" s="159">
        <v>0</v>
      </c>
      <c r="X142" s="159">
        <v>1657758.96</v>
      </c>
      <c r="Y142" s="159">
        <v>229230.19203223105</v>
      </c>
      <c r="Z142" s="159">
        <v>0</v>
      </c>
      <c r="AA142" s="155">
        <v>0</v>
      </c>
      <c r="AB142" s="159">
        <v>352834.53744985699</v>
      </c>
      <c r="AC142" s="159">
        <v>638502.48</v>
      </c>
      <c r="AD142" s="174">
        <f>SUM(Muut[[#This Row],[Työttömyysaste]:[Työttömät ja palveluissa olevat ]])</f>
        <v>3589883.0732382457</v>
      </c>
      <c r="AF142" s="62"/>
    </row>
    <row r="143" spans="1:32" s="45" customFormat="1">
      <c r="A143" s="90">
        <v>425</v>
      </c>
      <c r="B143" s="151" t="s">
        <v>142</v>
      </c>
      <c r="C143" s="395">
        <v>10256</v>
      </c>
      <c r="D143" s="134">
        <v>285.91666666666669</v>
      </c>
      <c r="E143" s="41">
        <v>4466</v>
      </c>
      <c r="F143" s="332">
        <f t="shared" si="5"/>
        <v>6.4020749365576959E-2</v>
      </c>
      <c r="G143" s="377">
        <f>Muut[[#This Row],[Keskim. työttömyysaste 2023, %]]/$F$12</f>
        <v>0.65153214041038177</v>
      </c>
      <c r="H143" s="166">
        <v>0</v>
      </c>
      <c r="I143" s="383">
        <v>10</v>
      </c>
      <c r="J143" s="389">
        <v>107</v>
      </c>
      <c r="K143" s="269">
        <v>637.32000000000005</v>
      </c>
      <c r="L143" s="170">
        <f t="shared" si="6"/>
        <v>16.092386870018199</v>
      </c>
      <c r="M143" s="377">
        <v>1.1451650782232827</v>
      </c>
      <c r="N143" s="166">
        <v>0</v>
      </c>
      <c r="O143" s="397">
        <v>0</v>
      </c>
      <c r="P143" s="269">
        <v>3454</v>
      </c>
      <c r="Q143" s="15">
        <v>184</v>
      </c>
      <c r="R143" s="158">
        <v>5.3271569195136072E-2</v>
      </c>
      <c r="S143" s="401">
        <v>0.38115032974806051</v>
      </c>
      <c r="T143" s="153">
        <v>414</v>
      </c>
      <c r="U143" s="197">
        <v>461333.12515665445</v>
      </c>
      <c r="V143" s="159">
        <v>0</v>
      </c>
      <c r="W143" s="159">
        <v>0</v>
      </c>
      <c r="X143" s="159">
        <v>189508.77</v>
      </c>
      <c r="Y143" s="159">
        <v>486117.81181905809</v>
      </c>
      <c r="Z143" s="159">
        <v>0</v>
      </c>
      <c r="AA143" s="155">
        <v>0</v>
      </c>
      <c r="AB143" s="159">
        <v>110783.26433893573</v>
      </c>
      <c r="AC143" s="159">
        <v>349656.12</v>
      </c>
      <c r="AD143" s="174">
        <f>SUM(Muut[[#This Row],[Työttömyysaste]:[Työttömät ja palveluissa olevat ]])</f>
        <v>1597399.0913146483</v>
      </c>
      <c r="AF143" s="62"/>
    </row>
    <row r="144" spans="1:32" s="45" customFormat="1">
      <c r="A144" s="90">
        <v>426</v>
      </c>
      <c r="B144" s="151" t="s">
        <v>143</v>
      </c>
      <c r="C144" s="395">
        <v>11969</v>
      </c>
      <c r="D144" s="134">
        <v>566.91666666666663</v>
      </c>
      <c r="E144" s="41">
        <v>5543</v>
      </c>
      <c r="F144" s="332">
        <f t="shared" si="5"/>
        <v>0.10227614408563353</v>
      </c>
      <c r="G144" s="377">
        <f>Muut[[#This Row],[Keskim. työttömyysaste 2023, %]]/$F$12</f>
        <v>1.0408530941823486</v>
      </c>
      <c r="H144" s="166">
        <v>0</v>
      </c>
      <c r="I144" s="383">
        <v>5</v>
      </c>
      <c r="J144" s="389">
        <v>290</v>
      </c>
      <c r="K144" s="269">
        <v>727.47</v>
      </c>
      <c r="L144" s="170">
        <f t="shared" si="6"/>
        <v>16.452912147579969</v>
      </c>
      <c r="M144" s="377">
        <v>1.1200715899716469</v>
      </c>
      <c r="N144" s="166">
        <v>3</v>
      </c>
      <c r="O144" s="397">
        <v>463</v>
      </c>
      <c r="P144" s="269">
        <v>3735</v>
      </c>
      <c r="Q144" s="15">
        <v>322</v>
      </c>
      <c r="R144" s="158">
        <v>8.6211512717536812E-2</v>
      </c>
      <c r="S144" s="401">
        <v>0.61683083484930434</v>
      </c>
      <c r="T144" s="153">
        <v>780</v>
      </c>
      <c r="U144" s="197">
        <v>860098.29604189948</v>
      </c>
      <c r="V144" s="159">
        <v>0</v>
      </c>
      <c r="W144" s="159">
        <v>0</v>
      </c>
      <c r="X144" s="159">
        <v>513621.89999999997</v>
      </c>
      <c r="Y144" s="159">
        <v>554880.00465074088</v>
      </c>
      <c r="Z144" s="159">
        <v>0</v>
      </c>
      <c r="AA144" s="155">
        <v>136603.52000000002</v>
      </c>
      <c r="AB144" s="159">
        <v>209229.91975390291</v>
      </c>
      <c r="AC144" s="159">
        <v>658772.4</v>
      </c>
      <c r="AD144" s="174">
        <f>SUM(Muut[[#This Row],[Työttömyysaste]:[Työttömät ja palveluissa olevat ]])</f>
        <v>2933206.0404465431</v>
      </c>
      <c r="AF144" s="62"/>
    </row>
    <row r="145" spans="1:32" s="45" customFormat="1">
      <c r="A145" s="90">
        <v>430</v>
      </c>
      <c r="B145" s="151" t="s">
        <v>144</v>
      </c>
      <c r="C145" s="395">
        <v>15420</v>
      </c>
      <c r="D145" s="134">
        <v>568.16666666666663</v>
      </c>
      <c r="E145" s="41">
        <v>6626</v>
      </c>
      <c r="F145" s="332">
        <f t="shared" si="5"/>
        <v>8.5748063185431128E-2</v>
      </c>
      <c r="G145" s="377">
        <f>Muut[[#This Row],[Keskim. työttömyysaste 2023, %]]/$F$12</f>
        <v>0.87264862871611149</v>
      </c>
      <c r="H145" s="166">
        <v>0</v>
      </c>
      <c r="I145" s="383">
        <v>32</v>
      </c>
      <c r="J145" s="389">
        <v>859</v>
      </c>
      <c r="K145" s="269">
        <v>848.09</v>
      </c>
      <c r="L145" s="170">
        <f t="shared" si="6"/>
        <v>18.182032567298283</v>
      </c>
      <c r="M145" s="377">
        <v>1.0135522197858462</v>
      </c>
      <c r="N145" s="166">
        <v>0</v>
      </c>
      <c r="O145" s="397">
        <v>0</v>
      </c>
      <c r="P145" s="269">
        <v>4202</v>
      </c>
      <c r="Q145" s="15">
        <v>663</v>
      </c>
      <c r="R145" s="158">
        <v>0.15778200856734889</v>
      </c>
      <c r="S145" s="401">
        <v>1.1289073234067086</v>
      </c>
      <c r="T145" s="153">
        <v>932</v>
      </c>
      <c r="U145" s="197">
        <v>929018.93765556044</v>
      </c>
      <c r="V145" s="159">
        <v>0</v>
      </c>
      <c r="W145" s="159">
        <v>0</v>
      </c>
      <c r="X145" s="159">
        <v>1521383.49</v>
      </c>
      <c r="Y145" s="159">
        <v>646883.28473235585</v>
      </c>
      <c r="Z145" s="159">
        <v>0</v>
      </c>
      <c r="AA145" s="155">
        <v>0</v>
      </c>
      <c r="AB145" s="159">
        <v>493335.66126923723</v>
      </c>
      <c r="AC145" s="159">
        <v>787148.56</v>
      </c>
      <c r="AD145" s="174">
        <f>SUM(Muut[[#This Row],[Työttömyysaste]:[Työttömät ja palveluissa olevat ]])</f>
        <v>4377769.9336571535</v>
      </c>
      <c r="AF145" s="62"/>
    </row>
    <row r="146" spans="1:32" s="45" customFormat="1">
      <c r="A146" s="90">
        <v>433</v>
      </c>
      <c r="B146" s="151" t="s">
        <v>145</v>
      </c>
      <c r="C146" s="395">
        <v>7692</v>
      </c>
      <c r="D146" s="134">
        <v>187.16666666666666</v>
      </c>
      <c r="E146" s="41">
        <v>3547</v>
      </c>
      <c r="F146" s="332">
        <f t="shared" si="5"/>
        <v>5.2767597030354288E-2</v>
      </c>
      <c r="G146" s="377">
        <f>Muut[[#This Row],[Keskim. työttömyysaste 2023, %]]/$F$12</f>
        <v>0.53701004405900865</v>
      </c>
      <c r="H146" s="166">
        <v>0</v>
      </c>
      <c r="I146" s="383">
        <v>36</v>
      </c>
      <c r="J146" s="389">
        <v>258</v>
      </c>
      <c r="K146" s="269">
        <v>597.69000000000005</v>
      </c>
      <c r="L146" s="170">
        <f t="shared" si="6"/>
        <v>12.869547758871654</v>
      </c>
      <c r="M146" s="377">
        <v>1.4319414958540428</v>
      </c>
      <c r="N146" s="166">
        <v>0</v>
      </c>
      <c r="O146" s="397">
        <v>0</v>
      </c>
      <c r="P146" s="269">
        <v>2269</v>
      </c>
      <c r="Q146" s="15">
        <v>296</v>
      </c>
      <c r="R146" s="158">
        <v>0.13045394446892905</v>
      </c>
      <c r="S146" s="401">
        <v>0.93337899938955371</v>
      </c>
      <c r="T146" s="153">
        <v>304</v>
      </c>
      <c r="U146" s="197">
        <v>285182.23411458684</v>
      </c>
      <c r="V146" s="159">
        <v>0</v>
      </c>
      <c r="W146" s="159">
        <v>0</v>
      </c>
      <c r="X146" s="159">
        <v>456946.37999999995</v>
      </c>
      <c r="Y146" s="159">
        <v>455889.90608506382</v>
      </c>
      <c r="Z146" s="159">
        <v>0</v>
      </c>
      <c r="AA146" s="155">
        <v>0</v>
      </c>
      <c r="AB146" s="159">
        <v>203468.48280204803</v>
      </c>
      <c r="AC146" s="159">
        <v>256752.32</v>
      </c>
      <c r="AD146" s="174">
        <f>SUM(Muut[[#This Row],[Työttömyysaste]:[Työttömät ja palveluissa olevat ]])</f>
        <v>1658239.3230016986</v>
      </c>
      <c r="AF146" s="62"/>
    </row>
    <row r="147" spans="1:32" s="45" customFormat="1">
      <c r="A147" s="90">
        <v>434</v>
      </c>
      <c r="B147" s="151" t="s">
        <v>146</v>
      </c>
      <c r="C147" s="395">
        <v>14458</v>
      </c>
      <c r="D147" s="134">
        <v>672.16666666666663</v>
      </c>
      <c r="E147" s="41">
        <v>6716</v>
      </c>
      <c r="F147" s="332">
        <f t="shared" si="5"/>
        <v>0.10008437562040896</v>
      </c>
      <c r="G147" s="377">
        <f>Muut[[#This Row],[Keskim. työttömyysaste 2023, %]]/$F$12</f>
        <v>1.0185477070448536</v>
      </c>
      <c r="H147" s="166">
        <v>1</v>
      </c>
      <c r="I147" s="383">
        <v>5641</v>
      </c>
      <c r="J147" s="389">
        <v>829</v>
      </c>
      <c r="K147" s="269">
        <v>820.06</v>
      </c>
      <c r="L147" s="170">
        <f t="shared" si="6"/>
        <v>17.630417286540009</v>
      </c>
      <c r="M147" s="377">
        <v>1.0452639418167919</v>
      </c>
      <c r="N147" s="166">
        <v>3</v>
      </c>
      <c r="O147" s="397">
        <v>708</v>
      </c>
      <c r="P147" s="269">
        <v>4169</v>
      </c>
      <c r="Q147" s="15">
        <v>660</v>
      </c>
      <c r="R147" s="158">
        <v>0.15831134564643801</v>
      </c>
      <c r="S147" s="401">
        <v>1.1326946532205471</v>
      </c>
      <c r="T147" s="153">
        <v>893</v>
      </c>
      <c r="U147" s="197">
        <v>1016694.2761532983</v>
      </c>
      <c r="V147" s="159">
        <v>296574.06240000005</v>
      </c>
      <c r="W147" s="159">
        <v>1537325.9352000002</v>
      </c>
      <c r="X147" s="159">
        <v>1468250.19</v>
      </c>
      <c r="Y147" s="159">
        <v>625503.31506988127</v>
      </c>
      <c r="Z147" s="159">
        <v>0</v>
      </c>
      <c r="AA147" s="155">
        <v>208888.32000000001</v>
      </c>
      <c r="AB147" s="159">
        <v>464109.99005608406</v>
      </c>
      <c r="AC147" s="159">
        <v>754209.94000000006</v>
      </c>
      <c r="AD147" s="174">
        <f>SUM(Muut[[#This Row],[Työttömyysaste]:[Työttömät ja palveluissa olevat ]])</f>
        <v>6371556.0288792644</v>
      </c>
      <c r="AF147" s="62"/>
    </row>
    <row r="148" spans="1:32" s="45" customFormat="1">
      <c r="A148" s="90">
        <v>435</v>
      </c>
      <c r="B148" s="151" t="s">
        <v>147</v>
      </c>
      <c r="C148" s="395">
        <v>702</v>
      </c>
      <c r="D148" s="134">
        <v>31.5</v>
      </c>
      <c r="E148" s="41">
        <v>279</v>
      </c>
      <c r="F148" s="332">
        <f t="shared" si="5"/>
        <v>0.11290322580645161</v>
      </c>
      <c r="G148" s="377">
        <f>Muut[[#This Row],[Keskim. työttömyysaste 2023, %]]/$F$12</f>
        <v>1.1490037385983218</v>
      </c>
      <c r="H148" s="166">
        <v>0</v>
      </c>
      <c r="I148" s="383">
        <v>0</v>
      </c>
      <c r="J148" s="389">
        <v>6</v>
      </c>
      <c r="K148" s="269">
        <v>214.5</v>
      </c>
      <c r="L148" s="170">
        <f t="shared" si="6"/>
        <v>3.2727272727272729</v>
      </c>
      <c r="M148" s="377">
        <v>5.6309120599122471</v>
      </c>
      <c r="N148" s="166">
        <v>3</v>
      </c>
      <c r="O148" s="397">
        <v>309</v>
      </c>
      <c r="P148" s="269">
        <v>135</v>
      </c>
      <c r="Q148" s="15">
        <v>23</v>
      </c>
      <c r="R148" s="158">
        <v>0.17037037037037037</v>
      </c>
      <c r="S148" s="401">
        <v>1.2189752212498157</v>
      </c>
      <c r="T148" s="153">
        <v>38</v>
      </c>
      <c r="U148" s="197">
        <v>55687.707115205354</v>
      </c>
      <c r="V148" s="159">
        <v>0</v>
      </c>
      <c r="W148" s="159">
        <v>0</v>
      </c>
      <c r="X148" s="159">
        <v>10626.66</v>
      </c>
      <c r="Y148" s="159">
        <v>163610.54201215706</v>
      </c>
      <c r="Z148" s="159">
        <v>0</v>
      </c>
      <c r="AA148" s="155">
        <v>91167.360000000001</v>
      </c>
      <c r="AB148" s="159">
        <v>24251.121954694285</v>
      </c>
      <c r="AC148" s="159">
        <v>32094.04</v>
      </c>
      <c r="AD148" s="174">
        <f>SUM(Muut[[#This Row],[Työttömyysaste]:[Työttömät ja palveluissa olevat ]])</f>
        <v>377437.43108205666</v>
      </c>
      <c r="AF148" s="62"/>
    </row>
    <row r="149" spans="1:32" s="45" customFormat="1">
      <c r="A149" s="90">
        <v>436</v>
      </c>
      <c r="B149" s="151" t="s">
        <v>148</v>
      </c>
      <c r="C149" s="395">
        <v>2033</v>
      </c>
      <c r="D149" s="134">
        <v>72.916666666666671</v>
      </c>
      <c r="E149" s="41">
        <v>825</v>
      </c>
      <c r="F149" s="332">
        <f t="shared" si="5"/>
        <v>8.8383838383838384E-2</v>
      </c>
      <c r="G149" s="377">
        <f>Muut[[#This Row],[Keskim. työttömyysaste 2023, %]]/$F$12</f>
        <v>0.89947262365020142</v>
      </c>
      <c r="H149" s="166">
        <v>0</v>
      </c>
      <c r="I149" s="383">
        <v>4</v>
      </c>
      <c r="J149" s="389">
        <v>91</v>
      </c>
      <c r="K149" s="269">
        <v>214.12</v>
      </c>
      <c r="L149" s="170">
        <f t="shared" si="6"/>
        <v>9.494675882682607</v>
      </c>
      <c r="M149" s="377">
        <v>1.940923491913553</v>
      </c>
      <c r="N149" s="166">
        <v>0</v>
      </c>
      <c r="O149" s="397">
        <v>0</v>
      </c>
      <c r="P149" s="269">
        <v>577</v>
      </c>
      <c r="Q149" s="15">
        <v>53</v>
      </c>
      <c r="R149" s="158">
        <v>9.1854419410745236E-2</v>
      </c>
      <c r="S149" s="401">
        <v>0.65720501153209498</v>
      </c>
      <c r="T149" s="153">
        <v>94</v>
      </c>
      <c r="U149" s="197">
        <v>126248.46634153454</v>
      </c>
      <c r="V149" s="159">
        <v>0</v>
      </c>
      <c r="W149" s="159">
        <v>0</v>
      </c>
      <c r="X149" s="159">
        <v>161171.00999999998</v>
      </c>
      <c r="Y149" s="159">
        <v>163320.69583050389</v>
      </c>
      <c r="Z149" s="159">
        <v>0</v>
      </c>
      <c r="AA149" s="155">
        <v>0</v>
      </c>
      <c r="AB149" s="159">
        <v>37865.011324524188</v>
      </c>
      <c r="AC149" s="159">
        <v>79390.52</v>
      </c>
      <c r="AD149" s="174">
        <f>SUM(Muut[[#This Row],[Työttömyysaste]:[Työttömät ja palveluissa olevat ]])</f>
        <v>567995.70349656255</v>
      </c>
      <c r="AF149" s="62"/>
    </row>
    <row r="150" spans="1:32" s="45" customFormat="1">
      <c r="A150" s="90">
        <v>440</v>
      </c>
      <c r="B150" s="151" t="s">
        <v>149</v>
      </c>
      <c r="C150" s="395">
        <v>5843</v>
      </c>
      <c r="D150" s="134">
        <v>58.416666666666664</v>
      </c>
      <c r="E150" s="41">
        <v>2519</v>
      </c>
      <c r="F150" s="332">
        <f t="shared" si="5"/>
        <v>2.3190419478629085E-2</v>
      </c>
      <c r="G150" s="377">
        <f>Muut[[#This Row],[Keskim. työttömyysaste 2023, %]]/$F$12</f>
        <v>0.23600635402824374</v>
      </c>
      <c r="H150" s="384">
        <v>3</v>
      </c>
      <c r="I150" s="383">
        <v>5347</v>
      </c>
      <c r="J150" s="389">
        <v>192</v>
      </c>
      <c r="K150" s="269">
        <v>142.78</v>
      </c>
      <c r="L150" s="170">
        <f t="shared" si="6"/>
        <v>40.923098473175514</v>
      </c>
      <c r="M150" s="377">
        <v>0.45031877243809604</v>
      </c>
      <c r="N150" s="166">
        <v>3</v>
      </c>
      <c r="O150" s="397">
        <v>2142</v>
      </c>
      <c r="P150" s="269">
        <v>1575</v>
      </c>
      <c r="Q150" s="15">
        <v>128</v>
      </c>
      <c r="R150" s="158">
        <v>8.126984126984127E-2</v>
      </c>
      <c r="S150" s="401">
        <v>0.5814738943601605</v>
      </c>
      <c r="T150" s="153">
        <v>93</v>
      </c>
      <c r="U150" s="197">
        <v>95205.133139568439</v>
      </c>
      <c r="V150" s="159">
        <v>119856.29040000001</v>
      </c>
      <c r="W150" s="159">
        <v>1457202.9384000003</v>
      </c>
      <c r="X150" s="159">
        <v>340053.12</v>
      </c>
      <c r="Y150" s="159">
        <v>108905.88899065637</v>
      </c>
      <c r="Z150" s="159">
        <v>0</v>
      </c>
      <c r="AA150" s="155">
        <v>631975.68000000005</v>
      </c>
      <c r="AB150" s="159">
        <v>96286.622680913482</v>
      </c>
      <c r="AC150" s="159">
        <v>78545.94</v>
      </c>
      <c r="AD150" s="174">
        <f>SUM(Muut[[#This Row],[Työttömyysaste]:[Työttömät ja palveluissa olevat ]])</f>
        <v>2928031.6136111389</v>
      </c>
      <c r="AF150" s="62"/>
    </row>
    <row r="151" spans="1:32" s="45" customFormat="1">
      <c r="A151" s="90">
        <v>441</v>
      </c>
      <c r="B151" s="151" t="s">
        <v>150</v>
      </c>
      <c r="C151" s="395">
        <v>4396</v>
      </c>
      <c r="D151" s="134">
        <v>189.16666666666666</v>
      </c>
      <c r="E151" s="41">
        <v>1878</v>
      </c>
      <c r="F151" s="332">
        <f t="shared" si="5"/>
        <v>0.10072772452964146</v>
      </c>
      <c r="G151" s="377">
        <f>Muut[[#This Row],[Keskim. työttömyysaste 2023, %]]/$F$12</f>
        <v>1.0250949982905309</v>
      </c>
      <c r="H151" s="166">
        <v>0</v>
      </c>
      <c r="I151" s="383">
        <v>14</v>
      </c>
      <c r="J151" s="389">
        <v>223</v>
      </c>
      <c r="K151" s="269">
        <v>750.16</v>
      </c>
      <c r="L151" s="170">
        <f t="shared" si="6"/>
        <v>5.8600831822544528</v>
      </c>
      <c r="M151" s="377">
        <v>3.1447402529385347</v>
      </c>
      <c r="N151" s="166">
        <v>0</v>
      </c>
      <c r="O151" s="397">
        <v>0</v>
      </c>
      <c r="P151" s="269">
        <v>1095</v>
      </c>
      <c r="Q151" s="15">
        <v>144</v>
      </c>
      <c r="R151" s="158">
        <v>0.13150684931506848</v>
      </c>
      <c r="S151" s="401">
        <v>0.94091238042868441</v>
      </c>
      <c r="T151" s="153">
        <v>263</v>
      </c>
      <c r="U151" s="197">
        <v>311116.1679659764</v>
      </c>
      <c r="V151" s="159">
        <v>0</v>
      </c>
      <c r="W151" s="159">
        <v>0</v>
      </c>
      <c r="X151" s="159">
        <v>394957.52999999997</v>
      </c>
      <c r="Y151" s="159">
        <v>572186.87270787766</v>
      </c>
      <c r="Z151" s="159">
        <v>0</v>
      </c>
      <c r="AA151" s="155">
        <v>0</v>
      </c>
      <c r="AB151" s="159">
        <v>117221.34836248985</v>
      </c>
      <c r="AC151" s="159">
        <v>222124.54</v>
      </c>
      <c r="AD151" s="174">
        <f>SUM(Muut[[#This Row],[Työttömyysaste]:[Työttömät ja palveluissa olevat ]])</f>
        <v>1617606.459036344</v>
      </c>
      <c r="AF151" s="62"/>
    </row>
    <row r="152" spans="1:32" s="45" customFormat="1">
      <c r="A152" s="90">
        <v>444</v>
      </c>
      <c r="B152" s="151" t="s">
        <v>151</v>
      </c>
      <c r="C152" s="395">
        <v>45645</v>
      </c>
      <c r="D152" s="134">
        <v>1942.5833333333333</v>
      </c>
      <c r="E152" s="41">
        <v>21425</v>
      </c>
      <c r="F152" s="332">
        <f t="shared" si="5"/>
        <v>9.0669000388953716E-2</v>
      </c>
      <c r="G152" s="377">
        <f>Muut[[#This Row],[Keskim. työttömyysaste 2023, %]]/$F$12</f>
        <v>0.92272846659379881</v>
      </c>
      <c r="H152" s="166">
        <v>1</v>
      </c>
      <c r="I152" s="383">
        <v>1576</v>
      </c>
      <c r="J152" s="389">
        <v>2929</v>
      </c>
      <c r="K152" s="269">
        <v>940.17</v>
      </c>
      <c r="L152" s="170">
        <f t="shared" si="6"/>
        <v>48.54973036791219</v>
      </c>
      <c r="M152" s="377">
        <v>0.37957861617669386</v>
      </c>
      <c r="N152" s="166">
        <v>0</v>
      </c>
      <c r="O152" s="397">
        <v>0</v>
      </c>
      <c r="P152" s="269">
        <v>13828</v>
      </c>
      <c r="Q152" s="15">
        <v>2184</v>
      </c>
      <c r="R152" s="158">
        <v>0.15794041076077525</v>
      </c>
      <c r="S152" s="401">
        <v>1.1300406680625816</v>
      </c>
      <c r="T152" s="153">
        <v>2791</v>
      </c>
      <c r="U152" s="197">
        <v>2907822.6368138096</v>
      </c>
      <c r="V152" s="159">
        <v>936306.75600000005</v>
      </c>
      <c r="W152" s="159">
        <v>429502.8672000001</v>
      </c>
      <c r="X152" s="159">
        <v>5187581.1899999995</v>
      </c>
      <c r="Y152" s="159">
        <v>717117.59106559306</v>
      </c>
      <c r="Z152" s="159">
        <v>0</v>
      </c>
      <c r="AA152" s="155">
        <v>0</v>
      </c>
      <c r="AB152" s="159">
        <v>1461797.2163639267</v>
      </c>
      <c r="AC152" s="159">
        <v>2357222.7800000003</v>
      </c>
      <c r="AD152" s="174">
        <f>SUM(Muut[[#This Row],[Työttömyysaste]:[Työttömät ja palveluissa olevat ]])</f>
        <v>13997351.037443329</v>
      </c>
      <c r="AF152" s="62"/>
    </row>
    <row r="153" spans="1:32" s="45" customFormat="1">
      <c r="A153" s="90">
        <v>445</v>
      </c>
      <c r="B153" s="151" t="s">
        <v>152</v>
      </c>
      <c r="C153" s="395">
        <v>14999</v>
      </c>
      <c r="D153" s="134">
        <v>388.66666666666669</v>
      </c>
      <c r="E153" s="41">
        <v>6761</v>
      </c>
      <c r="F153" s="332">
        <f t="shared" si="5"/>
        <v>5.7486565103781494E-2</v>
      </c>
      <c r="G153" s="377">
        <f>Muut[[#This Row],[Keskim. työttömyysaste 2023, %]]/$F$12</f>
        <v>0.58503446426458383</v>
      </c>
      <c r="H153" s="166">
        <v>3</v>
      </c>
      <c r="I153" s="383">
        <v>8114</v>
      </c>
      <c r="J153" s="389">
        <v>685</v>
      </c>
      <c r="K153" s="269">
        <v>884.04</v>
      </c>
      <c r="L153" s="170">
        <f t="shared" si="6"/>
        <v>16.966426858513191</v>
      </c>
      <c r="M153" s="377">
        <v>1.0861709199280778</v>
      </c>
      <c r="N153" s="166">
        <v>1</v>
      </c>
      <c r="O153" s="397">
        <v>0</v>
      </c>
      <c r="P153" s="269">
        <v>4376</v>
      </c>
      <c r="Q153" s="15">
        <v>536</v>
      </c>
      <c r="R153" s="158">
        <v>0.12248628884826325</v>
      </c>
      <c r="S153" s="401">
        <v>0.87637158224342926</v>
      </c>
      <c r="T153" s="153">
        <v>562</v>
      </c>
      <c r="U153" s="197">
        <v>605821.30041299027</v>
      </c>
      <c r="V153" s="159">
        <v>307671.48720000003</v>
      </c>
      <c r="W153" s="159">
        <v>2211285.7008000002</v>
      </c>
      <c r="X153" s="159">
        <v>1213210.3499999999</v>
      </c>
      <c r="Y153" s="159">
        <v>674304.25902297127</v>
      </c>
      <c r="Z153" s="159">
        <v>6049696.6599999992</v>
      </c>
      <c r="AA153" s="155">
        <v>0</v>
      </c>
      <c r="AB153" s="159">
        <v>372520.72324104101</v>
      </c>
      <c r="AC153" s="159">
        <v>474653.96</v>
      </c>
      <c r="AD153" s="174">
        <f>SUM(Muut[[#This Row],[Työttömyysaste]:[Työttömät ja palveluissa olevat ]])</f>
        <v>11909164.440677002</v>
      </c>
      <c r="AF153" s="62"/>
    </row>
    <row r="154" spans="1:32" s="45" customFormat="1">
      <c r="A154" s="90">
        <v>475</v>
      </c>
      <c r="B154" s="151" t="s">
        <v>153</v>
      </c>
      <c r="C154" s="395">
        <v>5456</v>
      </c>
      <c r="D154" s="134">
        <v>97.5</v>
      </c>
      <c r="E154" s="41">
        <v>2585</v>
      </c>
      <c r="F154" s="332">
        <f t="shared" si="5"/>
        <v>3.7717601547388784E-2</v>
      </c>
      <c r="G154" s="377">
        <f>Muut[[#This Row],[Keskim. työttömyysaste 2023, %]]/$F$12</f>
        <v>0.3838478916732167</v>
      </c>
      <c r="H154" s="166">
        <v>3</v>
      </c>
      <c r="I154" s="383">
        <v>4625</v>
      </c>
      <c r="J154" s="389">
        <v>320</v>
      </c>
      <c r="K154" s="269">
        <v>522.1</v>
      </c>
      <c r="L154" s="170">
        <f t="shared" si="6"/>
        <v>10.450105343803868</v>
      </c>
      <c r="M154" s="377">
        <v>1.7634692534205321</v>
      </c>
      <c r="N154" s="166">
        <v>1</v>
      </c>
      <c r="O154" s="397">
        <v>0</v>
      </c>
      <c r="P154" s="269">
        <v>1629</v>
      </c>
      <c r="Q154" s="15">
        <v>163</v>
      </c>
      <c r="R154" s="158">
        <v>0.10006138735420503</v>
      </c>
      <c r="S154" s="401">
        <v>0.71592467354210887</v>
      </c>
      <c r="T154" s="153">
        <v>152</v>
      </c>
      <c r="U154" s="197">
        <v>144588.68365474464</v>
      </c>
      <c r="V154" s="159">
        <v>111917.8368</v>
      </c>
      <c r="W154" s="159">
        <v>1260438.3000000003</v>
      </c>
      <c r="X154" s="159">
        <v>566755.19999999995</v>
      </c>
      <c r="Y154" s="159">
        <v>398233.39852935768</v>
      </c>
      <c r="Z154" s="159">
        <v>2200623.04</v>
      </c>
      <c r="AA154" s="155">
        <v>0</v>
      </c>
      <c r="AB154" s="159">
        <v>110698.44943408844</v>
      </c>
      <c r="AC154" s="159">
        <v>128376.16</v>
      </c>
      <c r="AD154" s="174">
        <f>SUM(Muut[[#This Row],[Työttömyysaste]:[Työttömät ja palveluissa olevat ]])</f>
        <v>4921631.0684181917</v>
      </c>
      <c r="AF154" s="62"/>
    </row>
    <row r="155" spans="1:32" s="45" customFormat="1">
      <c r="A155" s="90">
        <v>480</v>
      </c>
      <c r="B155" s="151" t="s">
        <v>154</v>
      </c>
      <c r="C155" s="395">
        <v>1930</v>
      </c>
      <c r="D155" s="134">
        <v>58.833333333333336</v>
      </c>
      <c r="E155" s="41">
        <v>877</v>
      </c>
      <c r="F155" s="332">
        <f t="shared" si="5"/>
        <v>6.7084758646902318E-2</v>
      </c>
      <c r="G155" s="377">
        <f>Muut[[#This Row],[Keskim. työttömyysaste 2023, %]]/$F$12</f>
        <v>0.68271422661027503</v>
      </c>
      <c r="H155" s="166">
        <v>0</v>
      </c>
      <c r="I155" s="383">
        <v>19</v>
      </c>
      <c r="J155" s="389">
        <v>66</v>
      </c>
      <c r="K155" s="269">
        <v>195.31</v>
      </c>
      <c r="L155" s="170">
        <f t="shared" si="6"/>
        <v>9.8817264860990228</v>
      </c>
      <c r="M155" s="377">
        <v>1.8649007837575411</v>
      </c>
      <c r="N155" s="166">
        <v>0</v>
      </c>
      <c r="O155" s="397">
        <v>0</v>
      </c>
      <c r="P155" s="269">
        <v>591</v>
      </c>
      <c r="Q155" s="15">
        <v>89</v>
      </c>
      <c r="R155" s="158">
        <v>0.15059221658206429</v>
      </c>
      <c r="S155" s="401">
        <v>1.0774654074388681</v>
      </c>
      <c r="T155" s="153">
        <v>97</v>
      </c>
      <c r="U155" s="197">
        <v>90969.759095984642</v>
      </c>
      <c r="V155" s="159">
        <v>0</v>
      </c>
      <c r="W155" s="159">
        <v>0</v>
      </c>
      <c r="X155" s="159">
        <v>116893.26</v>
      </c>
      <c r="Y155" s="159">
        <v>148973.30983866853</v>
      </c>
      <c r="Z155" s="159">
        <v>0</v>
      </c>
      <c r="AA155" s="155">
        <v>0</v>
      </c>
      <c r="AB155" s="159">
        <v>58933.263418357819</v>
      </c>
      <c r="AC155" s="159">
        <v>81924.260000000009</v>
      </c>
      <c r="AD155" s="174">
        <f>SUM(Muut[[#This Row],[Työttömyysaste]:[Työttömät ja palveluissa olevat ]])</f>
        <v>497693.85235301103</v>
      </c>
      <c r="AF155" s="62"/>
    </row>
    <row r="156" spans="1:32" s="45" customFormat="1">
      <c r="A156" s="90">
        <v>481</v>
      </c>
      <c r="B156" s="151" t="s">
        <v>155</v>
      </c>
      <c r="C156" s="395">
        <v>9619</v>
      </c>
      <c r="D156" s="134">
        <v>233.08333333333334</v>
      </c>
      <c r="E156" s="41">
        <v>4784</v>
      </c>
      <c r="F156" s="332">
        <f t="shared" si="5"/>
        <v>4.8721432552954295E-2</v>
      </c>
      <c r="G156" s="377">
        <f>Muut[[#This Row],[Keskim. työttömyysaste 2023, %]]/$F$12</f>
        <v>0.49583267221414984</v>
      </c>
      <c r="H156" s="166">
        <v>0</v>
      </c>
      <c r="I156" s="383">
        <v>118</v>
      </c>
      <c r="J156" s="389">
        <v>261</v>
      </c>
      <c r="K156" s="269">
        <v>174.89</v>
      </c>
      <c r="L156" s="170">
        <f t="shared" si="6"/>
        <v>55.000285893990515</v>
      </c>
      <c r="M156" s="377">
        <v>0.33506079412611312</v>
      </c>
      <c r="N156" s="166">
        <v>0</v>
      </c>
      <c r="O156" s="397">
        <v>0</v>
      </c>
      <c r="P156" s="269">
        <v>3345</v>
      </c>
      <c r="Q156" s="15">
        <v>287</v>
      </c>
      <c r="R156" s="158">
        <v>8.5799701046337815E-2</v>
      </c>
      <c r="S156" s="401">
        <v>0.61388438223596686</v>
      </c>
      <c r="T156" s="153">
        <v>314</v>
      </c>
      <c r="U156" s="197">
        <v>329280.3752868867</v>
      </c>
      <c r="V156" s="159">
        <v>0</v>
      </c>
      <c r="W156" s="159">
        <v>0</v>
      </c>
      <c r="X156" s="159">
        <v>462259.70999999996</v>
      </c>
      <c r="Y156" s="159">
        <v>133397.89134035501</v>
      </c>
      <c r="Z156" s="159">
        <v>0</v>
      </c>
      <c r="AA156" s="155">
        <v>0</v>
      </c>
      <c r="AB156" s="159">
        <v>167346.39275310485</v>
      </c>
      <c r="AC156" s="159">
        <v>265198.12</v>
      </c>
      <c r="AD156" s="174">
        <f>SUM(Muut[[#This Row],[Työttömyysaste]:[Työttömät ja palveluissa olevat ]])</f>
        <v>1357482.4893803466</v>
      </c>
      <c r="AF156" s="62"/>
    </row>
    <row r="157" spans="1:32" s="45" customFormat="1">
      <c r="A157" s="90">
        <v>483</v>
      </c>
      <c r="B157" s="151" t="s">
        <v>156</v>
      </c>
      <c r="C157" s="395">
        <v>1055</v>
      </c>
      <c r="D157" s="134">
        <v>41.75</v>
      </c>
      <c r="E157" s="41">
        <v>419</v>
      </c>
      <c r="F157" s="332">
        <f t="shared" si="5"/>
        <v>9.9642004773269691E-2</v>
      </c>
      <c r="G157" s="377">
        <f>Muut[[#This Row],[Keskim. työttömyysaste 2023, %]]/$F$12</f>
        <v>1.0140457474809943</v>
      </c>
      <c r="H157" s="166">
        <v>0</v>
      </c>
      <c r="I157" s="383">
        <v>3</v>
      </c>
      <c r="J157" s="389">
        <v>3</v>
      </c>
      <c r="K157" s="269">
        <v>229.69</v>
      </c>
      <c r="L157" s="170">
        <f t="shared" si="6"/>
        <v>4.5931472854717228</v>
      </c>
      <c r="M157" s="377">
        <v>4.0121594896583188</v>
      </c>
      <c r="N157" s="166">
        <v>0</v>
      </c>
      <c r="O157" s="397">
        <v>0</v>
      </c>
      <c r="P157" s="269">
        <v>231</v>
      </c>
      <c r="Q157" s="15">
        <v>21</v>
      </c>
      <c r="R157" s="158">
        <v>9.0909090909090912E-2</v>
      </c>
      <c r="S157" s="401">
        <v>0.65044132359179896</v>
      </c>
      <c r="T157" s="153">
        <v>61</v>
      </c>
      <c r="U157" s="197">
        <v>73860.252918422688</v>
      </c>
      <c r="V157" s="159">
        <v>0</v>
      </c>
      <c r="W157" s="159">
        <v>0</v>
      </c>
      <c r="X157" s="159">
        <v>5313.33</v>
      </c>
      <c r="Y157" s="159">
        <v>175196.76174719047</v>
      </c>
      <c r="Z157" s="159">
        <v>0</v>
      </c>
      <c r="AA157" s="155">
        <v>0</v>
      </c>
      <c r="AB157" s="159">
        <v>19447.35000167412</v>
      </c>
      <c r="AC157" s="159">
        <v>51519.380000000005</v>
      </c>
      <c r="AD157" s="174">
        <f>SUM(Muut[[#This Row],[Työttömyysaste]:[Työttömät ja palveluissa olevat ]])</f>
        <v>325337.07466728729</v>
      </c>
      <c r="AF157" s="62"/>
    </row>
    <row r="158" spans="1:32" s="45" customFormat="1">
      <c r="A158" s="90">
        <v>484</v>
      </c>
      <c r="B158" s="151" t="s">
        <v>157</v>
      </c>
      <c r="C158" s="395">
        <v>2966</v>
      </c>
      <c r="D158" s="134">
        <v>110.33333333333333</v>
      </c>
      <c r="E158" s="41">
        <v>1172</v>
      </c>
      <c r="F158" s="332">
        <f t="shared" si="5"/>
        <v>9.4141069397042088E-2</v>
      </c>
      <c r="G158" s="377">
        <f>Muut[[#This Row],[Keskim. työttömyysaste 2023, %]]/$F$12</f>
        <v>0.95806333185091663</v>
      </c>
      <c r="H158" s="166">
        <v>0</v>
      </c>
      <c r="I158" s="383">
        <v>14</v>
      </c>
      <c r="J158" s="389">
        <v>97</v>
      </c>
      <c r="K158" s="269">
        <v>446.28</v>
      </c>
      <c r="L158" s="170">
        <f t="shared" si="6"/>
        <v>6.6460518060410507</v>
      </c>
      <c r="M158" s="377">
        <v>2.7728401773896576</v>
      </c>
      <c r="N158" s="166">
        <v>0</v>
      </c>
      <c r="O158" s="397">
        <v>0</v>
      </c>
      <c r="P158" s="269">
        <v>717</v>
      </c>
      <c r="Q158" s="15">
        <v>120</v>
      </c>
      <c r="R158" s="158">
        <v>0.16736401673640167</v>
      </c>
      <c r="S158" s="401">
        <v>1.1974651982443159</v>
      </c>
      <c r="T158" s="153">
        <v>139</v>
      </c>
      <c r="U158" s="197">
        <v>196185.15775030831</v>
      </c>
      <c r="V158" s="159">
        <v>0</v>
      </c>
      <c r="W158" s="159">
        <v>0</v>
      </c>
      <c r="X158" s="159">
        <v>171797.66999999998</v>
      </c>
      <c r="Y158" s="159">
        <v>340401.45775844046</v>
      </c>
      <c r="Z158" s="159">
        <v>0</v>
      </c>
      <c r="AA158" s="155">
        <v>0</v>
      </c>
      <c r="AB158" s="159">
        <v>100654.66158831144</v>
      </c>
      <c r="AC158" s="159">
        <v>117396.62000000001</v>
      </c>
      <c r="AD158" s="174">
        <f>SUM(Muut[[#This Row],[Työttömyysaste]:[Työttömät ja palveluissa olevat ]])</f>
        <v>926435.56709706027</v>
      </c>
      <c r="AF158" s="62"/>
    </row>
    <row r="159" spans="1:32" s="45" customFormat="1">
      <c r="A159" s="90">
        <v>489</v>
      </c>
      <c r="B159" s="151" t="s">
        <v>158</v>
      </c>
      <c r="C159" s="395">
        <v>1752</v>
      </c>
      <c r="D159" s="134">
        <v>70.833333333333329</v>
      </c>
      <c r="E159" s="41">
        <v>732</v>
      </c>
      <c r="F159" s="332">
        <f t="shared" si="5"/>
        <v>9.6766848816029136E-2</v>
      </c>
      <c r="G159" s="377">
        <f>Muut[[#This Row],[Keskim. työttömyysaste 2023, %]]/$F$12</f>
        <v>0.98478560083482236</v>
      </c>
      <c r="H159" s="166">
        <v>0</v>
      </c>
      <c r="I159" s="383">
        <v>6</v>
      </c>
      <c r="J159" s="389">
        <v>112</v>
      </c>
      <c r="K159" s="269">
        <v>422.63</v>
      </c>
      <c r="L159" s="170">
        <f t="shared" si="6"/>
        <v>4.1454700328892882</v>
      </c>
      <c r="M159" s="377">
        <v>4.4454402812217566</v>
      </c>
      <c r="N159" s="166">
        <v>0</v>
      </c>
      <c r="O159" s="397">
        <v>0</v>
      </c>
      <c r="P159" s="269">
        <v>436</v>
      </c>
      <c r="Q159" s="15">
        <v>83</v>
      </c>
      <c r="R159" s="158">
        <v>0.19036697247706422</v>
      </c>
      <c r="S159" s="401">
        <v>1.3620480010075973</v>
      </c>
      <c r="T159" s="153">
        <v>106</v>
      </c>
      <c r="U159" s="197">
        <v>119117.77548862653</v>
      </c>
      <c r="V159" s="159">
        <v>0</v>
      </c>
      <c r="W159" s="159">
        <v>0</v>
      </c>
      <c r="X159" s="159">
        <v>198364.31999999998</v>
      </c>
      <c r="Y159" s="159">
        <v>322362.34671607445</v>
      </c>
      <c r="Z159" s="159">
        <v>0</v>
      </c>
      <c r="AA159" s="155">
        <v>0</v>
      </c>
      <c r="AB159" s="159">
        <v>67627.97149066889</v>
      </c>
      <c r="AC159" s="159">
        <v>89525.48000000001</v>
      </c>
      <c r="AD159" s="174">
        <f>SUM(Muut[[#This Row],[Työttömyysaste]:[Työttömät ja palveluissa olevat ]])</f>
        <v>796997.89369536983</v>
      </c>
      <c r="AF159" s="62"/>
    </row>
    <row r="160" spans="1:32" s="45" customFormat="1">
      <c r="A160" s="90">
        <v>491</v>
      </c>
      <c r="B160" s="151" t="s">
        <v>159</v>
      </c>
      <c r="C160" s="395">
        <v>51919</v>
      </c>
      <c r="D160" s="134">
        <v>2415.5</v>
      </c>
      <c r="E160" s="41">
        <v>23475</v>
      </c>
      <c r="F160" s="332">
        <f t="shared" si="5"/>
        <v>0.10289669861554845</v>
      </c>
      <c r="G160" s="377">
        <f>Muut[[#This Row],[Keskim. työttömyysaste 2023, %]]/$F$12</f>
        <v>1.0471684095312537</v>
      </c>
      <c r="H160" s="166">
        <v>0</v>
      </c>
      <c r="I160" s="383">
        <v>87</v>
      </c>
      <c r="J160" s="389">
        <v>2810</v>
      </c>
      <c r="K160" s="269">
        <v>2548.25</v>
      </c>
      <c r="L160" s="170">
        <f t="shared" si="6"/>
        <v>20.374374570783871</v>
      </c>
      <c r="M160" s="377">
        <v>0.90449105099056382</v>
      </c>
      <c r="N160" s="166">
        <v>3</v>
      </c>
      <c r="O160" s="397">
        <v>283</v>
      </c>
      <c r="P160" s="269">
        <v>14889</v>
      </c>
      <c r="Q160" s="15">
        <v>1663</v>
      </c>
      <c r="R160" s="158">
        <v>0.11169319631943045</v>
      </c>
      <c r="S160" s="401">
        <v>0.79914857495229885</v>
      </c>
      <c r="T160" s="153">
        <v>3658</v>
      </c>
      <c r="U160" s="197">
        <v>3753562.3466234463</v>
      </c>
      <c r="V160" s="159">
        <v>0</v>
      </c>
      <c r="W160" s="159">
        <v>0</v>
      </c>
      <c r="X160" s="159">
        <v>4976819.0999999996</v>
      </c>
      <c r="Y160" s="159">
        <v>1943685.6115733301</v>
      </c>
      <c r="Z160" s="159">
        <v>0</v>
      </c>
      <c r="AA160" s="155">
        <v>83496.320000000007</v>
      </c>
      <c r="AB160" s="159">
        <v>1175854.7944159578</v>
      </c>
      <c r="AC160" s="159">
        <v>3089473.64</v>
      </c>
      <c r="AD160" s="174">
        <f>SUM(Muut[[#This Row],[Työttömyysaste]:[Työttömät ja palveluissa olevat ]])</f>
        <v>15022891.812612735</v>
      </c>
      <c r="AF160" s="62"/>
    </row>
    <row r="161" spans="1:32" s="45" customFormat="1">
      <c r="A161" s="90">
        <v>494</v>
      </c>
      <c r="B161" s="151" t="s">
        <v>160</v>
      </c>
      <c r="C161" s="395">
        <v>8827</v>
      </c>
      <c r="D161" s="134">
        <v>358.08333333333331</v>
      </c>
      <c r="E161" s="41">
        <v>3822</v>
      </c>
      <c r="F161" s="332">
        <f t="shared" si="5"/>
        <v>9.3690040118611539E-2</v>
      </c>
      <c r="G161" s="377">
        <f>Muut[[#This Row],[Keskim. työttömyysaste 2023, %]]/$F$12</f>
        <v>0.95347325638201541</v>
      </c>
      <c r="H161" s="166">
        <v>0</v>
      </c>
      <c r="I161" s="383">
        <v>5</v>
      </c>
      <c r="J161" s="389">
        <v>140</v>
      </c>
      <c r="K161" s="269">
        <v>784.59</v>
      </c>
      <c r="L161" s="170">
        <f t="shared" si="6"/>
        <v>11.25046202475178</v>
      </c>
      <c r="M161" s="377">
        <v>1.6380162368674196</v>
      </c>
      <c r="N161" s="166">
        <v>0</v>
      </c>
      <c r="O161" s="397">
        <v>0</v>
      </c>
      <c r="P161" s="269">
        <v>2638</v>
      </c>
      <c r="Q161" s="15">
        <v>226</v>
      </c>
      <c r="R161" s="158">
        <v>8.5670962850644433E-2</v>
      </c>
      <c r="S161" s="401">
        <v>0.61296327916952698</v>
      </c>
      <c r="T161" s="153">
        <v>482</v>
      </c>
      <c r="U161" s="197">
        <v>581061.93428916286</v>
      </c>
      <c r="V161" s="159">
        <v>0</v>
      </c>
      <c r="W161" s="159">
        <v>0</v>
      </c>
      <c r="X161" s="159">
        <v>247955.4</v>
      </c>
      <c r="Y161" s="159">
        <v>598448.46227188047</v>
      </c>
      <c r="Z161" s="159">
        <v>0</v>
      </c>
      <c r="AA161" s="155">
        <v>0</v>
      </c>
      <c r="AB161" s="159">
        <v>153337.16536060162</v>
      </c>
      <c r="AC161" s="159">
        <v>407087.56</v>
      </c>
      <c r="AD161" s="174">
        <f>SUM(Muut[[#This Row],[Työttömyysaste]:[Työttömät ja palveluissa olevat ]])</f>
        <v>1987890.5219216449</v>
      </c>
      <c r="AF161" s="62"/>
    </row>
    <row r="162" spans="1:32" s="45" customFormat="1">
      <c r="A162" s="90">
        <v>495</v>
      </c>
      <c r="B162" s="151" t="s">
        <v>161</v>
      </c>
      <c r="C162" s="395">
        <v>1430</v>
      </c>
      <c r="D162" s="134">
        <v>55.5</v>
      </c>
      <c r="E162" s="41">
        <v>560</v>
      </c>
      <c r="F162" s="332">
        <f t="shared" si="5"/>
        <v>9.9107142857142852E-2</v>
      </c>
      <c r="G162" s="377">
        <f>Muut[[#This Row],[Keskim. työttömyysaste 2023, %]]/$F$12</f>
        <v>1.0086025164583738</v>
      </c>
      <c r="H162" s="166">
        <v>0</v>
      </c>
      <c r="I162" s="383">
        <v>4</v>
      </c>
      <c r="J162" s="389">
        <v>36</v>
      </c>
      <c r="K162" s="269">
        <v>733.26</v>
      </c>
      <c r="L162" s="170">
        <f t="shared" si="6"/>
        <v>1.9501950195019502</v>
      </c>
      <c r="M162" s="377">
        <v>9.4495367306958151</v>
      </c>
      <c r="N162" s="166">
        <v>0</v>
      </c>
      <c r="O162" s="397">
        <v>0</v>
      </c>
      <c r="P162" s="269">
        <v>330</v>
      </c>
      <c r="Q162" s="15">
        <v>54</v>
      </c>
      <c r="R162" s="158">
        <v>0.16363636363636364</v>
      </c>
      <c r="S162" s="401">
        <v>1.170794382465238</v>
      </c>
      <c r="T162" s="153">
        <v>85</v>
      </c>
      <c r="U162" s="197">
        <v>99576.502362889179</v>
      </c>
      <c r="V162" s="159">
        <v>0</v>
      </c>
      <c r="W162" s="159">
        <v>0</v>
      </c>
      <c r="X162" s="159">
        <v>63759.96</v>
      </c>
      <c r="Y162" s="159">
        <v>559296.34515540476</v>
      </c>
      <c r="Z162" s="159">
        <v>0</v>
      </c>
      <c r="AA162" s="155">
        <v>0</v>
      </c>
      <c r="AB162" s="159">
        <v>47447.847302662725</v>
      </c>
      <c r="AC162" s="159">
        <v>71789.3</v>
      </c>
      <c r="AD162" s="174">
        <f>SUM(Muut[[#This Row],[Työttömyysaste]:[Työttömät ja palveluissa olevat ]])</f>
        <v>841869.95482095669</v>
      </c>
      <c r="AF162" s="62"/>
    </row>
    <row r="163" spans="1:32" s="45" customFormat="1">
      <c r="A163" s="90">
        <v>498</v>
      </c>
      <c r="B163" s="151" t="s">
        <v>162</v>
      </c>
      <c r="C163" s="395">
        <v>2325</v>
      </c>
      <c r="D163" s="134">
        <v>107.91666666666667</v>
      </c>
      <c r="E163" s="41">
        <v>1062</v>
      </c>
      <c r="F163" s="332">
        <f t="shared" si="5"/>
        <v>0.10161644695543001</v>
      </c>
      <c r="G163" s="377">
        <f>Muut[[#This Row],[Keskim. työttömyysaste 2023, %]]/$F$12</f>
        <v>1.0341394288859662</v>
      </c>
      <c r="H163" s="166">
        <v>0</v>
      </c>
      <c r="I163" s="383">
        <v>12</v>
      </c>
      <c r="J163" s="389">
        <v>108</v>
      </c>
      <c r="K163" s="269">
        <v>1904.05</v>
      </c>
      <c r="L163" s="170">
        <f t="shared" si="6"/>
        <v>1.2210813791654631</v>
      </c>
      <c r="M163" s="377">
        <v>15.091901148634719</v>
      </c>
      <c r="N163" s="166">
        <v>0</v>
      </c>
      <c r="O163" s="397">
        <v>0</v>
      </c>
      <c r="P163" s="269">
        <v>708</v>
      </c>
      <c r="Q163" s="15">
        <v>87</v>
      </c>
      <c r="R163" s="158">
        <v>0.1228813559322034</v>
      </c>
      <c r="S163" s="401">
        <v>0.87919822977027062</v>
      </c>
      <c r="T163" s="153">
        <v>146</v>
      </c>
      <c r="U163" s="197">
        <v>165997.99284591753</v>
      </c>
      <c r="V163" s="159">
        <v>0</v>
      </c>
      <c r="W163" s="159">
        <v>0</v>
      </c>
      <c r="X163" s="159">
        <v>191279.87999999998</v>
      </c>
      <c r="Y163" s="159">
        <v>1452320.0583601291</v>
      </c>
      <c r="Z163" s="159">
        <v>0</v>
      </c>
      <c r="AA163" s="155">
        <v>0</v>
      </c>
      <c r="AB163" s="159">
        <v>57930.810958678019</v>
      </c>
      <c r="AC163" s="159">
        <v>123308.68000000001</v>
      </c>
      <c r="AD163" s="174">
        <f>SUM(Muut[[#This Row],[Työttömyysaste]:[Työttömät ja palveluissa olevat ]])</f>
        <v>1990837.4221647244</v>
      </c>
      <c r="AF163" s="62"/>
    </row>
    <row r="164" spans="1:32" s="45" customFormat="1">
      <c r="A164" s="90">
        <v>499</v>
      </c>
      <c r="B164" s="151" t="s">
        <v>163</v>
      </c>
      <c r="C164" s="395">
        <v>19763</v>
      </c>
      <c r="D164" s="134">
        <v>333.08333333333331</v>
      </c>
      <c r="E164" s="41">
        <v>9457</v>
      </c>
      <c r="F164" s="332">
        <f t="shared" si="5"/>
        <v>3.5220824080927707E-2</v>
      </c>
      <c r="G164" s="377">
        <f>Muut[[#This Row],[Keskim. työttömyysaste 2023, %]]/$F$12</f>
        <v>0.35843846140299768</v>
      </c>
      <c r="H164" s="166">
        <v>3</v>
      </c>
      <c r="I164" s="383">
        <v>13470</v>
      </c>
      <c r="J164" s="389">
        <v>674</v>
      </c>
      <c r="K164" s="269">
        <v>849.5</v>
      </c>
      <c r="L164" s="170">
        <f t="shared" si="6"/>
        <v>23.264273101824603</v>
      </c>
      <c r="M164" s="377">
        <v>0.79213476338353284</v>
      </c>
      <c r="N164" s="166">
        <v>3</v>
      </c>
      <c r="O164" s="397">
        <v>2088</v>
      </c>
      <c r="P164" s="269">
        <v>6481</v>
      </c>
      <c r="Q164" s="15">
        <v>451</v>
      </c>
      <c r="R164" s="158">
        <v>6.9588026539114334E-2</v>
      </c>
      <c r="S164" s="401">
        <v>0.49789220897067032</v>
      </c>
      <c r="T164" s="153">
        <v>519</v>
      </c>
      <c r="U164" s="197">
        <v>489066.88534932188</v>
      </c>
      <c r="V164" s="159">
        <v>405394.46640000003</v>
      </c>
      <c r="W164" s="159">
        <v>3670941.3840000005</v>
      </c>
      <c r="X164" s="159">
        <v>1193728.1399999999</v>
      </c>
      <c r="Y164" s="159">
        <v>647958.76661691116</v>
      </c>
      <c r="Z164" s="159">
        <v>0</v>
      </c>
      <c r="AA164" s="155">
        <v>616043.52000000002</v>
      </c>
      <c r="AB164" s="159">
        <v>278861.17119164771</v>
      </c>
      <c r="AC164" s="159">
        <v>438337.02</v>
      </c>
      <c r="AD164" s="174">
        <f>SUM(Muut[[#This Row],[Työttömyysaste]:[Työttömät ja palveluissa olevat ]])</f>
        <v>7740331.353557881</v>
      </c>
      <c r="AF164" s="62"/>
    </row>
    <row r="165" spans="1:32" s="45" customFormat="1">
      <c r="A165" s="90">
        <v>500</v>
      </c>
      <c r="B165" s="151" t="s">
        <v>164</v>
      </c>
      <c r="C165" s="395">
        <v>10551</v>
      </c>
      <c r="D165" s="134">
        <v>381.83333333333331</v>
      </c>
      <c r="E165" s="41">
        <v>4962</v>
      </c>
      <c r="F165" s="332">
        <f t="shared" si="5"/>
        <v>7.69514980518608E-2</v>
      </c>
      <c r="G165" s="377">
        <f>Muut[[#This Row],[Keskim. työttömyysaste 2023, %]]/$F$12</f>
        <v>0.7831269507206331</v>
      </c>
      <c r="H165" s="166">
        <v>0</v>
      </c>
      <c r="I165" s="383">
        <v>16</v>
      </c>
      <c r="J165" s="389">
        <v>207</v>
      </c>
      <c r="K165" s="269">
        <v>144.06</v>
      </c>
      <c r="L165" s="170">
        <f t="shared" si="6"/>
        <v>73.240316534777179</v>
      </c>
      <c r="M165" s="377">
        <v>0.25161605439066098</v>
      </c>
      <c r="N165" s="166">
        <v>0</v>
      </c>
      <c r="O165" s="397">
        <v>0</v>
      </c>
      <c r="P165" s="269">
        <v>3608</v>
      </c>
      <c r="Q165" s="15">
        <v>195</v>
      </c>
      <c r="R165" s="158">
        <v>5.4046563192904656E-2</v>
      </c>
      <c r="S165" s="401">
        <v>0.38669529908658778</v>
      </c>
      <c r="T165" s="153">
        <v>552</v>
      </c>
      <c r="U165" s="197">
        <v>570461.8104349667</v>
      </c>
      <c r="V165" s="159">
        <v>0</v>
      </c>
      <c r="W165" s="159">
        <v>0</v>
      </c>
      <c r="X165" s="159">
        <v>366619.76999999996</v>
      </c>
      <c r="Y165" s="159">
        <v>109882.21297096202</v>
      </c>
      <c r="Z165" s="159">
        <v>0</v>
      </c>
      <c r="AA165" s="155">
        <v>0</v>
      </c>
      <c r="AB165" s="159">
        <v>115627.82633277772</v>
      </c>
      <c r="AC165" s="159">
        <v>466208.16000000003</v>
      </c>
      <c r="AD165" s="174">
        <f>SUM(Muut[[#This Row],[Työttömyysaste]:[Työttömät ja palveluissa olevat ]])</f>
        <v>1628799.7797387065</v>
      </c>
      <c r="AF165" s="62"/>
    </row>
    <row r="166" spans="1:32" s="45" customFormat="1">
      <c r="A166" s="90">
        <v>503</v>
      </c>
      <c r="B166" s="151" t="s">
        <v>165</v>
      </c>
      <c r="C166" s="395">
        <v>7515</v>
      </c>
      <c r="D166" s="134">
        <v>242.75</v>
      </c>
      <c r="E166" s="41">
        <v>3517</v>
      </c>
      <c r="F166" s="332">
        <f t="shared" si="5"/>
        <v>6.9021893659368783E-2</v>
      </c>
      <c r="G166" s="377">
        <f>Muut[[#This Row],[Keskim. työttömyysaste 2023, %]]/$F$12</f>
        <v>0.70242823704350477</v>
      </c>
      <c r="H166" s="166">
        <v>0</v>
      </c>
      <c r="I166" s="383">
        <v>65</v>
      </c>
      <c r="J166" s="389">
        <v>293</v>
      </c>
      <c r="K166" s="269">
        <v>519.83000000000004</v>
      </c>
      <c r="L166" s="170">
        <f t="shared" si="6"/>
        <v>14.456649289190695</v>
      </c>
      <c r="M166" s="377">
        <v>1.2747379493104776</v>
      </c>
      <c r="N166" s="166">
        <v>0</v>
      </c>
      <c r="O166" s="397">
        <v>0</v>
      </c>
      <c r="P166" s="269">
        <v>2206</v>
      </c>
      <c r="Q166" s="15">
        <v>294</v>
      </c>
      <c r="R166" s="158">
        <v>0.13327289211242066</v>
      </c>
      <c r="S166" s="401">
        <v>0.95354815978960905</v>
      </c>
      <c r="T166" s="153">
        <v>336</v>
      </c>
      <c r="U166" s="197">
        <v>364444.77582340903</v>
      </c>
      <c r="V166" s="159">
        <v>0</v>
      </c>
      <c r="W166" s="159">
        <v>0</v>
      </c>
      <c r="X166" s="159">
        <v>518935.23</v>
      </c>
      <c r="Y166" s="159">
        <v>396501.94897053443</v>
      </c>
      <c r="Z166" s="159">
        <v>0</v>
      </c>
      <c r="AA166" s="155">
        <v>0</v>
      </c>
      <c r="AB166" s="159">
        <v>203082.01468600795</v>
      </c>
      <c r="AC166" s="159">
        <v>283778.88</v>
      </c>
      <c r="AD166" s="174">
        <f>SUM(Muut[[#This Row],[Työttömyysaste]:[Työttömät ja palveluissa olevat ]])</f>
        <v>1766742.8494799514</v>
      </c>
      <c r="AF166" s="62"/>
    </row>
    <row r="167" spans="1:32" s="45" customFormat="1">
      <c r="A167" s="90">
        <v>504</v>
      </c>
      <c r="B167" s="151" t="s">
        <v>166</v>
      </c>
      <c r="C167" s="395">
        <v>1715</v>
      </c>
      <c r="D167" s="134">
        <v>77.25</v>
      </c>
      <c r="E167" s="41">
        <v>827</v>
      </c>
      <c r="F167" s="332">
        <f t="shared" si="5"/>
        <v>9.3409915356711004E-2</v>
      </c>
      <c r="G167" s="377">
        <f>Muut[[#This Row],[Keskim. työttömyysaste 2023, %]]/$F$12</f>
        <v>0.9506224574221217</v>
      </c>
      <c r="H167" s="166">
        <v>1</v>
      </c>
      <c r="I167" s="383">
        <v>159</v>
      </c>
      <c r="J167" s="389">
        <v>72</v>
      </c>
      <c r="K167" s="269">
        <v>200.47</v>
      </c>
      <c r="L167" s="170">
        <f t="shared" si="6"/>
        <v>8.5548959944131298</v>
      </c>
      <c r="M167" s="377">
        <v>2.1541395103854701</v>
      </c>
      <c r="N167" s="166">
        <v>0</v>
      </c>
      <c r="O167" s="397">
        <v>0</v>
      </c>
      <c r="P167" s="269">
        <v>503</v>
      </c>
      <c r="Q167" s="15">
        <v>87</v>
      </c>
      <c r="R167" s="158">
        <v>0.17296222664015903</v>
      </c>
      <c r="S167" s="401">
        <v>1.2375195758993072</v>
      </c>
      <c r="T167" s="153">
        <v>99</v>
      </c>
      <c r="U167" s="197">
        <v>112557.12119962594</v>
      </c>
      <c r="V167" s="159">
        <v>35179.452000000005</v>
      </c>
      <c r="W167" s="159">
        <v>43331.824800000009</v>
      </c>
      <c r="X167" s="159">
        <v>127519.92</v>
      </c>
      <c r="Y167" s="159">
        <v>152909.11588427564</v>
      </c>
      <c r="Z167" s="159">
        <v>0</v>
      </c>
      <c r="AA167" s="155">
        <v>0</v>
      </c>
      <c r="AB167" s="159">
        <v>60147.287699391622</v>
      </c>
      <c r="AC167" s="159">
        <v>83613.42</v>
      </c>
      <c r="AD167" s="174">
        <f>SUM(Muut[[#This Row],[Työttömyysaste]:[Työttömät ja palveluissa olevat ]])</f>
        <v>615258.14158329321</v>
      </c>
      <c r="AF167" s="62"/>
    </row>
    <row r="168" spans="1:32" s="45" customFormat="1">
      <c r="A168" s="90">
        <v>505</v>
      </c>
      <c r="B168" s="151" t="s">
        <v>167</v>
      </c>
      <c r="C168" s="395">
        <v>20957</v>
      </c>
      <c r="D168" s="134">
        <v>689.66666666666663</v>
      </c>
      <c r="E168" s="41">
        <v>10228</v>
      </c>
      <c r="F168" s="332">
        <f t="shared" si="5"/>
        <v>6.7429279103115622E-2</v>
      </c>
      <c r="G168" s="377">
        <f>Muut[[#This Row],[Keskim. työttömyysaste 2023, %]]/$F$12</f>
        <v>0.68622037348415887</v>
      </c>
      <c r="H168" s="166">
        <v>0</v>
      </c>
      <c r="I168" s="383">
        <v>163</v>
      </c>
      <c r="J168" s="389">
        <v>1117</v>
      </c>
      <c r="K168" s="269">
        <v>580.9</v>
      </c>
      <c r="L168" s="170">
        <f t="shared" si="6"/>
        <v>36.076777414357032</v>
      </c>
      <c r="M168" s="377">
        <v>0.5108116852330048</v>
      </c>
      <c r="N168" s="166">
        <v>0</v>
      </c>
      <c r="O168" s="397">
        <v>0</v>
      </c>
      <c r="P168" s="269">
        <v>6825</v>
      </c>
      <c r="Q168" s="15">
        <v>938</v>
      </c>
      <c r="R168" s="158">
        <v>0.13743589743589743</v>
      </c>
      <c r="S168" s="401">
        <v>0.98333385740955037</v>
      </c>
      <c r="T168" s="153">
        <v>955</v>
      </c>
      <c r="U168" s="197">
        <v>992872.55014510301</v>
      </c>
      <c r="V168" s="159">
        <v>0</v>
      </c>
      <c r="W168" s="159">
        <v>0</v>
      </c>
      <c r="X168" s="159">
        <v>1978329.8699999999</v>
      </c>
      <c r="Y168" s="159">
        <v>443083.28137464833</v>
      </c>
      <c r="Z168" s="159">
        <v>0</v>
      </c>
      <c r="AA168" s="155">
        <v>0</v>
      </c>
      <c r="AB168" s="159">
        <v>584023.0015934034</v>
      </c>
      <c r="AC168" s="159">
        <v>806573.9</v>
      </c>
      <c r="AD168" s="174">
        <f>SUM(Muut[[#This Row],[Työttömyysaste]:[Työttömät ja palveluissa olevat ]])</f>
        <v>4804882.6031131549</v>
      </c>
      <c r="AF168" s="62"/>
    </row>
    <row r="169" spans="1:32" s="45" customFormat="1">
      <c r="A169" s="90">
        <v>507</v>
      </c>
      <c r="B169" s="151" t="s">
        <v>168</v>
      </c>
      <c r="C169" s="395">
        <v>5522</v>
      </c>
      <c r="D169" s="134">
        <v>214.91666666666666</v>
      </c>
      <c r="E169" s="41">
        <v>2202</v>
      </c>
      <c r="F169" s="332">
        <f t="shared" si="5"/>
        <v>9.7600666061156527E-2</v>
      </c>
      <c r="G169" s="377">
        <f>Muut[[#This Row],[Keskim. työttömyysaste 2023, %]]/$F$12</f>
        <v>0.99327126743217453</v>
      </c>
      <c r="H169" s="166">
        <v>0</v>
      </c>
      <c r="I169" s="383">
        <v>13</v>
      </c>
      <c r="J169" s="389">
        <v>243</v>
      </c>
      <c r="K169" s="269">
        <v>981.31</v>
      </c>
      <c r="L169" s="170">
        <f t="shared" si="6"/>
        <v>5.62717184172178</v>
      </c>
      <c r="M169" s="377">
        <v>3.2749025597848207</v>
      </c>
      <c r="N169" s="166">
        <v>0</v>
      </c>
      <c r="O169" s="397">
        <v>0</v>
      </c>
      <c r="P169" s="269">
        <v>1298</v>
      </c>
      <c r="Q169" s="15">
        <v>229</v>
      </c>
      <c r="R169" s="158">
        <v>0.17642526964560862</v>
      </c>
      <c r="S169" s="401">
        <v>1.2622971449366267</v>
      </c>
      <c r="T169" s="153">
        <v>304</v>
      </c>
      <c r="U169" s="197">
        <v>378673.62553202274</v>
      </c>
      <c r="V169" s="159">
        <v>0</v>
      </c>
      <c r="W169" s="159">
        <v>0</v>
      </c>
      <c r="X169" s="159">
        <v>430379.73</v>
      </c>
      <c r="Y169" s="159">
        <v>748497.25399510446</v>
      </c>
      <c r="Z169" s="159">
        <v>0</v>
      </c>
      <c r="AA169" s="155">
        <v>0</v>
      </c>
      <c r="AB169" s="159">
        <v>197541.27300519709</v>
      </c>
      <c r="AC169" s="159">
        <v>256752.32</v>
      </c>
      <c r="AD169" s="174">
        <f>SUM(Muut[[#This Row],[Työttömyysaste]:[Työttömät ja palveluissa olevat ]])</f>
        <v>2011844.2025323242</v>
      </c>
      <c r="AF169" s="62"/>
    </row>
    <row r="170" spans="1:32" s="45" customFormat="1">
      <c r="A170" s="90">
        <v>508</v>
      </c>
      <c r="B170" s="151" t="s">
        <v>169</v>
      </c>
      <c r="C170" s="395">
        <v>9271</v>
      </c>
      <c r="D170" s="134">
        <v>357.91666666666669</v>
      </c>
      <c r="E170" s="41">
        <v>3737</v>
      </c>
      <c r="F170" s="332">
        <f t="shared" si="5"/>
        <v>9.5776469538845777E-2</v>
      </c>
      <c r="G170" s="377">
        <f>Muut[[#This Row],[Keskim. työttömyysaste 2023, %]]/$F$12</f>
        <v>0.97470661961895566</v>
      </c>
      <c r="H170" s="166">
        <v>0</v>
      </c>
      <c r="I170" s="383">
        <v>15</v>
      </c>
      <c r="J170" s="389">
        <v>355</v>
      </c>
      <c r="K170" s="269">
        <v>534.78</v>
      </c>
      <c r="L170" s="170">
        <f t="shared" si="6"/>
        <v>17.336100826508098</v>
      </c>
      <c r="M170" s="377">
        <v>1.0630094767691569</v>
      </c>
      <c r="N170" s="166">
        <v>0</v>
      </c>
      <c r="O170" s="397">
        <v>0</v>
      </c>
      <c r="P170" s="269">
        <v>2345</v>
      </c>
      <c r="Q170" s="15">
        <v>326</v>
      </c>
      <c r="R170" s="158">
        <v>0.13901918976545843</v>
      </c>
      <c r="S170" s="401">
        <v>0.99466208375274678</v>
      </c>
      <c r="T170" s="153">
        <v>583</v>
      </c>
      <c r="U170" s="197">
        <v>623880.31006644585</v>
      </c>
      <c r="V170" s="159">
        <v>0</v>
      </c>
      <c r="W170" s="159">
        <v>0</v>
      </c>
      <c r="X170" s="159">
        <v>628744.04999999993</v>
      </c>
      <c r="Y170" s="159">
        <v>407905.10795926052</v>
      </c>
      <c r="Z170" s="159">
        <v>0</v>
      </c>
      <c r="AA170" s="155">
        <v>0</v>
      </c>
      <c r="AB170" s="159">
        <v>261337.65513788842</v>
      </c>
      <c r="AC170" s="159">
        <v>492390.14</v>
      </c>
      <c r="AD170" s="174">
        <f>SUM(Muut[[#This Row],[Työttömyysaste]:[Työttömät ja palveluissa olevat ]])</f>
        <v>2414257.2631635945</v>
      </c>
      <c r="AF170" s="62"/>
    </row>
    <row r="171" spans="1:32" s="45" customFormat="1">
      <c r="A171" s="90">
        <v>529</v>
      </c>
      <c r="B171" s="151" t="s">
        <v>170</v>
      </c>
      <c r="C171" s="395">
        <v>19999</v>
      </c>
      <c r="D171" s="134">
        <v>609.91666666666663</v>
      </c>
      <c r="E171" s="41">
        <v>9166</v>
      </c>
      <c r="F171" s="332">
        <f t="shared" si="5"/>
        <v>6.6541202996581561E-2</v>
      </c>
      <c r="G171" s="377">
        <f>Muut[[#This Row],[Keskim. työttömyysaste 2023, %]]/$F$12</f>
        <v>0.67718252040884686</v>
      </c>
      <c r="H171" s="166">
        <v>0</v>
      </c>
      <c r="I171" s="383">
        <v>271</v>
      </c>
      <c r="J171" s="389">
        <v>775</v>
      </c>
      <c r="K171" s="269">
        <v>312.58999999999997</v>
      </c>
      <c r="L171" s="170">
        <f t="shared" si="6"/>
        <v>63.978374228222279</v>
      </c>
      <c r="M171" s="377">
        <v>0.28804169676250585</v>
      </c>
      <c r="N171" s="166">
        <v>3</v>
      </c>
      <c r="O171" s="397">
        <v>4249</v>
      </c>
      <c r="P171" s="269">
        <v>6006</v>
      </c>
      <c r="Q171" s="15">
        <v>617</v>
      </c>
      <c r="R171" s="158">
        <v>0.10273060273060274</v>
      </c>
      <c r="S171" s="401">
        <v>0.73502252134824164</v>
      </c>
      <c r="T171" s="153">
        <v>897</v>
      </c>
      <c r="U171" s="197">
        <v>935006.87149932689</v>
      </c>
      <c r="V171" s="159">
        <v>0</v>
      </c>
      <c r="W171" s="159">
        <v>0</v>
      </c>
      <c r="X171" s="159">
        <v>1372610.25</v>
      </c>
      <c r="Y171" s="159">
        <v>238428.99453417334</v>
      </c>
      <c r="Z171" s="159">
        <v>0</v>
      </c>
      <c r="AA171" s="155">
        <v>1253624.9600000002</v>
      </c>
      <c r="AB171" s="159">
        <v>416589.93456192833</v>
      </c>
      <c r="AC171" s="159">
        <v>757588.26</v>
      </c>
      <c r="AD171" s="174">
        <f>SUM(Muut[[#This Row],[Työttömyysaste]:[Työttömät ja palveluissa olevat ]])</f>
        <v>4973849.2705954295</v>
      </c>
      <c r="AF171" s="62"/>
    </row>
    <row r="172" spans="1:32" s="45" customFormat="1">
      <c r="A172" s="90">
        <v>531</v>
      </c>
      <c r="B172" s="151" t="s">
        <v>171</v>
      </c>
      <c r="C172" s="395">
        <v>4966</v>
      </c>
      <c r="D172" s="134">
        <v>162.75</v>
      </c>
      <c r="E172" s="41">
        <v>2206</v>
      </c>
      <c r="F172" s="332">
        <f t="shared" si="5"/>
        <v>7.3776065276518588E-2</v>
      </c>
      <c r="G172" s="377">
        <f>Muut[[#This Row],[Keskim. työttömyysaste 2023, %]]/$F$12</f>
        <v>0.75081091985017268</v>
      </c>
      <c r="H172" s="166">
        <v>0</v>
      </c>
      <c r="I172" s="383">
        <v>30</v>
      </c>
      <c r="J172" s="389">
        <v>96</v>
      </c>
      <c r="K172" s="269">
        <v>182.93</v>
      </c>
      <c r="L172" s="170">
        <f t="shared" si="6"/>
        <v>27.146996118733941</v>
      </c>
      <c r="M172" s="377">
        <v>0.6788389915481805</v>
      </c>
      <c r="N172" s="166">
        <v>0</v>
      </c>
      <c r="O172" s="397">
        <v>0</v>
      </c>
      <c r="P172" s="269">
        <v>1443</v>
      </c>
      <c r="Q172" s="15">
        <v>155</v>
      </c>
      <c r="R172" s="158">
        <v>0.10741510741510742</v>
      </c>
      <c r="S172" s="401">
        <v>0.76853947104921494</v>
      </c>
      <c r="T172" s="153">
        <v>306</v>
      </c>
      <c r="U172" s="197">
        <v>257417.50601146012</v>
      </c>
      <c r="V172" s="159">
        <v>0</v>
      </c>
      <c r="W172" s="159">
        <v>0</v>
      </c>
      <c r="X172" s="159">
        <v>170026.56</v>
      </c>
      <c r="Y172" s="159">
        <v>139530.42634164984</v>
      </c>
      <c r="Z172" s="159">
        <v>0</v>
      </c>
      <c r="AA172" s="155">
        <v>0</v>
      </c>
      <c r="AB172" s="159">
        <v>108161.50915494957</v>
      </c>
      <c r="AC172" s="159">
        <v>258441.48</v>
      </c>
      <c r="AD172" s="174">
        <f>SUM(Muut[[#This Row],[Työttömyysaste]:[Työttömät ja palveluissa olevat ]])</f>
        <v>933577.48150805954</v>
      </c>
      <c r="AF172" s="62"/>
    </row>
    <row r="173" spans="1:32" s="45" customFormat="1">
      <c r="A173" s="90">
        <v>535</v>
      </c>
      <c r="B173" s="151" t="s">
        <v>172</v>
      </c>
      <c r="C173" s="395">
        <v>10454</v>
      </c>
      <c r="D173" s="134">
        <v>339.5</v>
      </c>
      <c r="E173" s="41">
        <v>4322</v>
      </c>
      <c r="F173" s="332">
        <f t="shared" si="5"/>
        <v>7.8551596483109665E-2</v>
      </c>
      <c r="G173" s="377">
        <f>Muut[[#This Row],[Keskim. työttömyysaste 2023, %]]/$F$12</f>
        <v>0.79941097685450102</v>
      </c>
      <c r="H173" s="166">
        <v>0</v>
      </c>
      <c r="I173" s="383">
        <v>7</v>
      </c>
      <c r="J173" s="389">
        <v>163</v>
      </c>
      <c r="K173" s="269">
        <v>527.32000000000005</v>
      </c>
      <c r="L173" s="170">
        <f t="shared" si="6"/>
        <v>19.824774330577256</v>
      </c>
      <c r="M173" s="377">
        <v>0.9295661661268011</v>
      </c>
      <c r="N173" s="166">
        <v>0</v>
      </c>
      <c r="O173" s="397">
        <v>0</v>
      </c>
      <c r="P173" s="269">
        <v>2841</v>
      </c>
      <c r="Q173" s="15">
        <v>274</v>
      </c>
      <c r="R173" s="158">
        <v>9.6444913762759585E-2</v>
      </c>
      <c r="S173" s="401">
        <v>0.69004933097700871</v>
      </c>
      <c r="T173" s="153">
        <v>450</v>
      </c>
      <c r="U173" s="197">
        <v>576970.20398463134</v>
      </c>
      <c r="V173" s="159">
        <v>0</v>
      </c>
      <c r="W173" s="159">
        <v>0</v>
      </c>
      <c r="X173" s="159">
        <v>288690.93</v>
      </c>
      <c r="Y173" s="159">
        <v>402214.9697615417</v>
      </c>
      <c r="Z173" s="159">
        <v>0</v>
      </c>
      <c r="AA173" s="155">
        <v>0</v>
      </c>
      <c r="AB173" s="159">
        <v>204438.40350899362</v>
      </c>
      <c r="AC173" s="159">
        <v>380061</v>
      </c>
      <c r="AD173" s="174">
        <f>SUM(Muut[[#This Row],[Työttömyysaste]:[Työttömät ja palveluissa olevat ]])</f>
        <v>1852375.5072551665</v>
      </c>
      <c r="AF173" s="62"/>
    </row>
    <row r="174" spans="1:32" s="45" customFormat="1">
      <c r="A174" s="90">
        <v>536</v>
      </c>
      <c r="B174" s="151" t="s">
        <v>173</v>
      </c>
      <c r="C174" s="395">
        <v>35647</v>
      </c>
      <c r="D174" s="134">
        <v>1330.4166666666667</v>
      </c>
      <c r="E174" s="41">
        <v>16908</v>
      </c>
      <c r="F174" s="332">
        <f t="shared" si="5"/>
        <v>7.868563204794575E-2</v>
      </c>
      <c r="G174" s="377">
        <f>Muut[[#This Row],[Keskim. työttömyysaste 2023, %]]/$F$12</f>
        <v>0.80077504208825978</v>
      </c>
      <c r="H174" s="166">
        <v>0</v>
      </c>
      <c r="I174" s="383">
        <v>114</v>
      </c>
      <c r="J174" s="389">
        <v>1288</v>
      </c>
      <c r="K174" s="269">
        <v>288.32</v>
      </c>
      <c r="L174" s="170">
        <f t="shared" si="6"/>
        <v>123.63693118756937</v>
      </c>
      <c r="M174" s="377">
        <v>0.14905287030172212</v>
      </c>
      <c r="N174" s="166">
        <v>0</v>
      </c>
      <c r="O174" s="397">
        <v>0</v>
      </c>
      <c r="P174" s="269">
        <v>12188</v>
      </c>
      <c r="Q174" s="15">
        <v>1065</v>
      </c>
      <c r="R174" s="158">
        <v>8.7381030521824749E-2</v>
      </c>
      <c r="S174" s="401">
        <v>0.62519856464374179</v>
      </c>
      <c r="T174" s="153">
        <v>1994</v>
      </c>
      <c r="U174" s="197">
        <v>1970762.5359641067</v>
      </c>
      <c r="V174" s="159">
        <v>0</v>
      </c>
      <c r="W174" s="159">
        <v>0</v>
      </c>
      <c r="X174" s="159">
        <v>2281189.6799999997</v>
      </c>
      <c r="Y174" s="159">
        <v>219916.97656384678</v>
      </c>
      <c r="Z174" s="159">
        <v>0</v>
      </c>
      <c r="AA174" s="155">
        <v>0</v>
      </c>
      <c r="AB174" s="159">
        <v>631598.08464746387</v>
      </c>
      <c r="AC174" s="159">
        <v>1684092.52</v>
      </c>
      <c r="AD174" s="174">
        <f>SUM(Muut[[#This Row],[Työttömyysaste]:[Työttömät ja palveluissa olevat ]])</f>
        <v>6787559.7971754167</v>
      </c>
      <c r="AF174" s="62"/>
    </row>
    <row r="175" spans="1:32" s="45" customFormat="1">
      <c r="A175" s="90">
        <v>538</v>
      </c>
      <c r="B175" s="151" t="s">
        <v>174</v>
      </c>
      <c r="C175" s="395">
        <v>4695</v>
      </c>
      <c r="D175" s="134">
        <v>115.58333333333333</v>
      </c>
      <c r="E175" s="41">
        <v>2254</v>
      </c>
      <c r="F175" s="332">
        <f t="shared" si="5"/>
        <v>5.1279207335107956E-2</v>
      </c>
      <c r="G175" s="377">
        <f>Muut[[#This Row],[Keskim. työttömyysaste 2023, %]]/$F$12</f>
        <v>0.52186286547209237</v>
      </c>
      <c r="H175" s="166">
        <v>0</v>
      </c>
      <c r="I175" s="383">
        <v>37</v>
      </c>
      <c r="J175" s="389">
        <v>158</v>
      </c>
      <c r="K175" s="269">
        <v>198.94</v>
      </c>
      <c r="L175" s="170">
        <f t="shared" si="6"/>
        <v>23.600080426259172</v>
      </c>
      <c r="M175" s="377">
        <v>0.78086341808813897</v>
      </c>
      <c r="N175" s="166">
        <v>0</v>
      </c>
      <c r="O175" s="397">
        <v>0</v>
      </c>
      <c r="P175" s="269">
        <v>1604</v>
      </c>
      <c r="Q175" s="15">
        <v>154</v>
      </c>
      <c r="R175" s="158">
        <v>9.6009975062344141E-2</v>
      </c>
      <c r="S175" s="401">
        <v>0.68693740783323398</v>
      </c>
      <c r="T175" s="153">
        <v>167</v>
      </c>
      <c r="U175" s="197">
        <v>169158.09043014736</v>
      </c>
      <c r="V175" s="159">
        <v>0</v>
      </c>
      <c r="W175" s="159">
        <v>0</v>
      </c>
      <c r="X175" s="159">
        <v>279835.38</v>
      </c>
      <c r="Y175" s="159">
        <v>151742.10362656659</v>
      </c>
      <c r="Z175" s="159">
        <v>0</v>
      </c>
      <c r="AA175" s="155">
        <v>0</v>
      </c>
      <c r="AB175" s="159">
        <v>91401.349817881128</v>
      </c>
      <c r="AC175" s="159">
        <v>141044.86000000002</v>
      </c>
      <c r="AD175" s="174">
        <f>SUM(Muut[[#This Row],[Työttömyysaste]:[Työttömät ja palveluissa olevat ]])</f>
        <v>833181.78387459507</v>
      </c>
      <c r="AF175" s="62"/>
    </row>
    <row r="176" spans="1:32" s="45" customFormat="1">
      <c r="A176" s="90">
        <v>541</v>
      </c>
      <c r="B176" s="151" t="s">
        <v>175</v>
      </c>
      <c r="C176" s="395">
        <v>9130</v>
      </c>
      <c r="D176" s="134">
        <v>450.5</v>
      </c>
      <c r="E176" s="41">
        <v>3752</v>
      </c>
      <c r="F176" s="332">
        <f t="shared" si="5"/>
        <v>0.12006929637526652</v>
      </c>
      <c r="G176" s="377">
        <f>Muut[[#This Row],[Keskim. työttömyysaste 2023, %]]/$F$12</f>
        <v>1.2219320523450246</v>
      </c>
      <c r="H176" s="166">
        <v>0</v>
      </c>
      <c r="I176" s="383">
        <v>9</v>
      </c>
      <c r="J176" s="390">
        <v>307</v>
      </c>
      <c r="K176" s="269">
        <v>2401.58</v>
      </c>
      <c r="L176" s="170">
        <f t="shared" si="6"/>
        <v>3.8016639045961411</v>
      </c>
      <c r="M176" s="377">
        <v>4.8474667754095986</v>
      </c>
      <c r="N176" s="166">
        <v>0</v>
      </c>
      <c r="O176" s="397">
        <v>0</v>
      </c>
      <c r="P176" s="269">
        <v>2205</v>
      </c>
      <c r="Q176" s="15">
        <v>288</v>
      </c>
      <c r="R176" s="158">
        <v>0.1306122448979592</v>
      </c>
      <c r="S176" s="401">
        <v>0.93451161593597243</v>
      </c>
      <c r="T176" s="153">
        <v>619</v>
      </c>
      <c r="U176" s="197">
        <v>770226.78460131167</v>
      </c>
      <c r="V176" s="159">
        <v>0</v>
      </c>
      <c r="W176" s="159">
        <v>0</v>
      </c>
      <c r="X176" s="159">
        <v>543730.77</v>
      </c>
      <c r="Y176" s="159">
        <v>1831812.6129862759</v>
      </c>
      <c r="Z176" s="159">
        <v>0</v>
      </c>
      <c r="AA176" s="155">
        <v>0</v>
      </c>
      <c r="AB176" s="159">
        <v>241799.46045606045</v>
      </c>
      <c r="AC176" s="159">
        <v>522795.02</v>
      </c>
      <c r="AD176" s="174">
        <f>SUM(Muut[[#This Row],[Työttömyysaste]:[Työttömät ja palveluissa olevat ]])</f>
        <v>3910364.6480436479</v>
      </c>
      <c r="AF176" s="62"/>
    </row>
    <row r="177" spans="1:32" s="45" customFormat="1">
      <c r="A177" s="90">
        <v>543</v>
      </c>
      <c r="B177" s="151" t="s">
        <v>176</v>
      </c>
      <c r="C177" s="395">
        <v>44785</v>
      </c>
      <c r="D177" s="134">
        <v>1622.25</v>
      </c>
      <c r="E177" s="41">
        <v>22663</v>
      </c>
      <c r="F177" s="332">
        <f t="shared" si="5"/>
        <v>7.1581432290517583E-2</v>
      </c>
      <c r="G177" s="377">
        <f>Muut[[#This Row],[Keskim. työttömyysaste 2023, %]]/$F$12</f>
        <v>0.72847638079909927</v>
      </c>
      <c r="H177" s="166">
        <v>0</v>
      </c>
      <c r="I177" s="383">
        <v>563</v>
      </c>
      <c r="J177" s="389">
        <v>3434</v>
      </c>
      <c r="K177" s="269">
        <v>361.91</v>
      </c>
      <c r="L177" s="170">
        <f t="shared" si="6"/>
        <v>123.7462352518582</v>
      </c>
      <c r="M177" s="377">
        <v>0.1489212130881937</v>
      </c>
      <c r="N177" s="166">
        <v>0</v>
      </c>
      <c r="O177" s="397">
        <v>0</v>
      </c>
      <c r="P177" s="269">
        <v>15160</v>
      </c>
      <c r="Q177" s="15">
        <v>2289</v>
      </c>
      <c r="R177" s="158">
        <v>0.15098944591029023</v>
      </c>
      <c r="S177" s="401">
        <v>1.0803075255090966</v>
      </c>
      <c r="T177" s="153">
        <v>2110</v>
      </c>
      <c r="U177" s="197">
        <v>2252417.2078606123</v>
      </c>
      <c r="V177" s="159">
        <v>0</v>
      </c>
      <c r="W177" s="159">
        <v>0</v>
      </c>
      <c r="X177" s="159">
        <v>6081991.7399999993</v>
      </c>
      <c r="Y177" s="159">
        <v>276047.97790032532</v>
      </c>
      <c r="Z177" s="159">
        <v>0</v>
      </c>
      <c r="AA177" s="155">
        <v>0</v>
      </c>
      <c r="AB177" s="159">
        <v>1371133.7654980712</v>
      </c>
      <c r="AC177" s="159">
        <v>1782063.8</v>
      </c>
      <c r="AD177" s="174">
        <f>SUM(Muut[[#This Row],[Työttömyysaste]:[Työttömät ja palveluissa olevat ]])</f>
        <v>11763654.491259009</v>
      </c>
      <c r="AF177" s="62"/>
    </row>
    <row r="178" spans="1:32" s="45" customFormat="1">
      <c r="A178" s="90">
        <v>545</v>
      </c>
      <c r="B178" s="151" t="s">
        <v>177</v>
      </c>
      <c r="C178" s="395">
        <v>9621</v>
      </c>
      <c r="D178" s="134">
        <v>186.25</v>
      </c>
      <c r="E178" s="41">
        <v>4449</v>
      </c>
      <c r="F178" s="332">
        <f t="shared" si="5"/>
        <v>4.1863340076421666E-2</v>
      </c>
      <c r="G178" s="377">
        <f>Muut[[#This Row],[Keskim. työttömyysaste 2023, %]]/$F$12</f>
        <v>0.42603861771390428</v>
      </c>
      <c r="H178" s="385">
        <v>3</v>
      </c>
      <c r="I178" s="383">
        <v>7120</v>
      </c>
      <c r="J178" s="389">
        <v>2012</v>
      </c>
      <c r="K178" s="269">
        <v>977.77</v>
      </c>
      <c r="L178" s="170">
        <f t="shared" si="6"/>
        <v>9.8397373615471935</v>
      </c>
      <c r="M178" s="377">
        <v>1.8728588773944719</v>
      </c>
      <c r="N178" s="166">
        <v>3</v>
      </c>
      <c r="O178" s="397">
        <v>95</v>
      </c>
      <c r="P178" s="269">
        <v>2903</v>
      </c>
      <c r="Q178" s="15">
        <v>716</v>
      </c>
      <c r="R178" s="158">
        <v>0.24664140544264554</v>
      </c>
      <c r="S178" s="401">
        <v>1.7646833842952148</v>
      </c>
      <c r="T178" s="153">
        <v>298</v>
      </c>
      <c r="U178" s="197">
        <v>282989.26703239867</v>
      </c>
      <c r="V178" s="159">
        <v>197353.64880000002</v>
      </c>
      <c r="W178" s="159">
        <v>1940393.6640000003</v>
      </c>
      <c r="X178" s="159">
        <v>3563473.32</v>
      </c>
      <c r="Y178" s="159">
        <v>745797.1079870715</v>
      </c>
      <c r="Z178" s="159">
        <v>0</v>
      </c>
      <c r="AA178" s="155">
        <v>28028.800000000003</v>
      </c>
      <c r="AB178" s="159">
        <v>481157.05393422279</v>
      </c>
      <c r="AC178" s="159">
        <v>251684.84000000003</v>
      </c>
      <c r="AD178" s="174">
        <f>SUM(Muut[[#This Row],[Työttömyysaste]:[Työttömät ja palveluissa olevat ]])</f>
        <v>7490877.7017536936</v>
      </c>
      <c r="AF178" s="62"/>
    </row>
    <row r="179" spans="1:32" s="45" customFormat="1">
      <c r="A179" s="90">
        <v>560</v>
      </c>
      <c r="B179" s="151" t="s">
        <v>178</v>
      </c>
      <c r="C179" s="395">
        <v>15669</v>
      </c>
      <c r="D179" s="134">
        <v>750.75</v>
      </c>
      <c r="E179" s="41">
        <v>7203</v>
      </c>
      <c r="F179" s="332">
        <f t="shared" si="5"/>
        <v>0.10422740524781342</v>
      </c>
      <c r="G179" s="377">
        <f>Muut[[#This Row],[Keskim. työttömyysaste 2023, %]]/$F$12</f>
        <v>1.060710864890954</v>
      </c>
      <c r="H179" s="166">
        <v>0</v>
      </c>
      <c r="I179" s="383">
        <v>94</v>
      </c>
      <c r="J179" s="389">
        <v>595</v>
      </c>
      <c r="K179" s="269">
        <v>785.38</v>
      </c>
      <c r="L179" s="170">
        <f t="shared" si="6"/>
        <v>19.950851816954849</v>
      </c>
      <c r="M179" s="377">
        <v>0.92369186227640987</v>
      </c>
      <c r="N179" s="166">
        <v>0</v>
      </c>
      <c r="O179" s="397">
        <v>0</v>
      </c>
      <c r="P179" s="269">
        <v>4737</v>
      </c>
      <c r="Q179" s="15">
        <v>719</v>
      </c>
      <c r="R179" s="158">
        <v>0.15178382942790797</v>
      </c>
      <c r="S179" s="401">
        <v>1.0859912240421232</v>
      </c>
      <c r="T179" s="153">
        <v>991</v>
      </c>
      <c r="U179" s="197">
        <v>1147464.0305380479</v>
      </c>
      <c r="V179" s="159">
        <v>0</v>
      </c>
      <c r="W179" s="159">
        <v>0</v>
      </c>
      <c r="X179" s="159">
        <v>1053810.45</v>
      </c>
      <c r="Y179" s="159">
        <v>599051.03722847532</v>
      </c>
      <c r="Z179" s="159">
        <v>0</v>
      </c>
      <c r="AA179" s="155">
        <v>0</v>
      </c>
      <c r="AB179" s="159">
        <v>482244.67651288421</v>
      </c>
      <c r="AC179" s="159">
        <v>836978.78</v>
      </c>
      <c r="AD179" s="174">
        <f>SUM(Muut[[#This Row],[Työttömyysaste]:[Työttömät ja palveluissa olevat ]])</f>
        <v>4119548.9742794074</v>
      </c>
      <c r="AF179" s="62"/>
    </row>
    <row r="180" spans="1:32" s="45" customFormat="1">
      <c r="A180" s="90">
        <v>561</v>
      </c>
      <c r="B180" s="151" t="s">
        <v>179</v>
      </c>
      <c r="C180" s="395">
        <v>1315</v>
      </c>
      <c r="D180" s="134">
        <v>45.083333333333336</v>
      </c>
      <c r="E180" s="41">
        <v>591</v>
      </c>
      <c r="F180" s="332">
        <f t="shared" si="5"/>
        <v>7.6283135927805987E-2</v>
      </c>
      <c r="G180" s="377">
        <f>Muut[[#This Row],[Keskim. työttömyysaste 2023, %]]/$F$12</f>
        <v>0.77632510273275557</v>
      </c>
      <c r="H180" s="166">
        <v>0</v>
      </c>
      <c r="I180" s="383">
        <v>7</v>
      </c>
      <c r="J180" s="389">
        <v>116</v>
      </c>
      <c r="K180" s="269">
        <v>117.78</v>
      </c>
      <c r="L180" s="170">
        <f t="shared" si="6"/>
        <v>11.164883681439973</v>
      </c>
      <c r="M180" s="377">
        <v>1.6505715594187849</v>
      </c>
      <c r="N180" s="166">
        <v>0</v>
      </c>
      <c r="O180" s="397">
        <v>0</v>
      </c>
      <c r="P180" s="269">
        <v>401</v>
      </c>
      <c r="Q180" s="15">
        <v>90</v>
      </c>
      <c r="R180" s="158">
        <v>0.22443890274314215</v>
      </c>
      <c r="S180" s="401">
        <v>1.6058277066231446</v>
      </c>
      <c r="T180" s="153">
        <v>69</v>
      </c>
      <c r="U180" s="197">
        <v>70480.692896860317</v>
      </c>
      <c r="V180" s="159">
        <v>0</v>
      </c>
      <c r="W180" s="159">
        <v>0</v>
      </c>
      <c r="X180" s="159">
        <v>205448.75999999998</v>
      </c>
      <c r="Y180" s="159">
        <v>89837.061250311715</v>
      </c>
      <c r="Z180" s="159">
        <v>0</v>
      </c>
      <c r="AA180" s="155">
        <v>0</v>
      </c>
      <c r="AB180" s="159">
        <v>59844.541725495394</v>
      </c>
      <c r="AC180" s="159">
        <v>58276.020000000004</v>
      </c>
      <c r="AD180" s="174">
        <f>SUM(Muut[[#This Row],[Työttömyysaste]:[Työttömät ja palveluissa olevat ]])</f>
        <v>483887.07587266748</v>
      </c>
      <c r="AF180" s="62"/>
    </row>
    <row r="181" spans="1:32" s="45" customFormat="1">
      <c r="A181" s="90">
        <v>562</v>
      </c>
      <c r="B181" s="151" t="s">
        <v>180</v>
      </c>
      <c r="C181" s="395">
        <v>8839</v>
      </c>
      <c r="D181" s="134">
        <v>319.16666666666669</v>
      </c>
      <c r="E181" s="41">
        <v>3816</v>
      </c>
      <c r="F181" s="332">
        <f t="shared" si="5"/>
        <v>8.3639063591893784E-2</v>
      </c>
      <c r="G181" s="377">
        <f>Muut[[#This Row],[Keskim. työttömyysaste 2023, %]]/$F$12</f>
        <v>0.85118557130240313</v>
      </c>
      <c r="H181" s="166">
        <v>0</v>
      </c>
      <c r="I181" s="383">
        <v>14</v>
      </c>
      <c r="J181" s="389">
        <v>201</v>
      </c>
      <c r="K181" s="269">
        <v>799.72</v>
      </c>
      <c r="L181" s="170">
        <f t="shared" si="6"/>
        <v>11.052618416445755</v>
      </c>
      <c r="M181" s="377">
        <v>1.6673369851783812</v>
      </c>
      <c r="N181" s="166">
        <v>0</v>
      </c>
      <c r="O181" s="397">
        <v>0</v>
      </c>
      <c r="P181" s="269">
        <v>2435</v>
      </c>
      <c r="Q181" s="15">
        <v>253</v>
      </c>
      <c r="R181" s="158">
        <v>0.10390143737166324</v>
      </c>
      <c r="S181" s="401">
        <v>0.74339967291826548</v>
      </c>
      <c r="T181" s="153">
        <v>458</v>
      </c>
      <c r="U181" s="197">
        <v>519431.36443778366</v>
      </c>
      <c r="V181" s="159">
        <v>0</v>
      </c>
      <c r="W181" s="159">
        <v>0</v>
      </c>
      <c r="X181" s="159">
        <v>355993.11</v>
      </c>
      <c r="Y181" s="159">
        <v>609988.91682033695</v>
      </c>
      <c r="Z181" s="159">
        <v>0</v>
      </c>
      <c r="AA181" s="155">
        <v>0</v>
      </c>
      <c r="AB181" s="159">
        <v>186219.5811509217</v>
      </c>
      <c r="AC181" s="159">
        <v>386817.64</v>
      </c>
      <c r="AD181" s="174">
        <f>SUM(Muut[[#This Row],[Työttömyysaste]:[Työttömät ja palveluissa olevat ]])</f>
        <v>2058450.6124090422</v>
      </c>
      <c r="AF181" s="62"/>
    </row>
    <row r="182" spans="1:32" s="45" customFormat="1">
      <c r="A182" s="90">
        <v>563</v>
      </c>
      <c r="B182" s="151" t="s">
        <v>181</v>
      </c>
      <c r="C182" s="395">
        <v>6978</v>
      </c>
      <c r="D182" s="134">
        <v>261.75</v>
      </c>
      <c r="E182" s="41">
        <v>2911</v>
      </c>
      <c r="F182" s="332">
        <f t="shared" si="5"/>
        <v>8.9917554105118522E-2</v>
      </c>
      <c r="G182" s="377">
        <f>Muut[[#This Row],[Keskim. työttömyysaste 2023, %]]/$F$12</f>
        <v>0.91508108022981138</v>
      </c>
      <c r="H182" s="166">
        <v>0</v>
      </c>
      <c r="I182" s="383">
        <v>8</v>
      </c>
      <c r="J182" s="389">
        <v>159</v>
      </c>
      <c r="K182" s="269">
        <v>587.55999999999995</v>
      </c>
      <c r="L182" s="170">
        <f t="shared" si="6"/>
        <v>11.876233916536185</v>
      </c>
      <c r="M182" s="377">
        <v>1.5517073508584569</v>
      </c>
      <c r="N182" s="166">
        <v>0</v>
      </c>
      <c r="O182" s="397">
        <v>0</v>
      </c>
      <c r="P182" s="269">
        <v>1816</v>
      </c>
      <c r="Q182" s="15">
        <v>190</v>
      </c>
      <c r="R182" s="158">
        <v>0.10462555066079295</v>
      </c>
      <c r="S182" s="401">
        <v>0.74858059818659672</v>
      </c>
      <c r="T182" s="153">
        <v>374</v>
      </c>
      <c r="U182" s="197">
        <v>440850.48610232386</v>
      </c>
      <c r="V182" s="159">
        <v>0</v>
      </c>
      <c r="W182" s="159">
        <v>0</v>
      </c>
      <c r="X182" s="159">
        <v>281606.49</v>
      </c>
      <c r="Y182" s="159">
        <v>448163.21708467603</v>
      </c>
      <c r="Z182" s="159">
        <v>0</v>
      </c>
      <c r="AA182" s="155">
        <v>0</v>
      </c>
      <c r="AB182" s="159">
        <v>148036.69403689966</v>
      </c>
      <c r="AC182" s="159">
        <v>315872.92000000004</v>
      </c>
      <c r="AD182" s="174">
        <f>SUM(Muut[[#This Row],[Työttömyysaste]:[Työttömät ja palveluissa olevat ]])</f>
        <v>1634529.8072238993</v>
      </c>
      <c r="AF182" s="62"/>
    </row>
    <row r="183" spans="1:32" s="45" customFormat="1">
      <c r="A183" s="90">
        <v>564</v>
      </c>
      <c r="B183" s="151" t="s">
        <v>182</v>
      </c>
      <c r="C183" s="395">
        <v>214633</v>
      </c>
      <c r="D183" s="134">
        <v>12807.166666666666</v>
      </c>
      <c r="E183" s="41">
        <v>102841</v>
      </c>
      <c r="F183" s="332">
        <f t="shared" si="5"/>
        <v>0.12453366523727566</v>
      </c>
      <c r="G183" s="377">
        <f>Muut[[#This Row],[Keskim. työttömyysaste 2023, %]]/$F$12</f>
        <v>1.2673654443166942</v>
      </c>
      <c r="H183" s="166">
        <v>0</v>
      </c>
      <c r="I183" s="383">
        <v>497</v>
      </c>
      <c r="J183" s="389">
        <v>12825</v>
      </c>
      <c r="K183" s="269">
        <v>2972.52</v>
      </c>
      <c r="L183" s="170">
        <f t="shared" si="6"/>
        <v>72.205737892427976</v>
      </c>
      <c r="M183" s="377">
        <v>0.25522126089561453</v>
      </c>
      <c r="N183" s="166">
        <v>0</v>
      </c>
      <c r="O183" s="397">
        <v>0</v>
      </c>
      <c r="P183" s="269">
        <v>69940</v>
      </c>
      <c r="Q183" s="15">
        <v>6231</v>
      </c>
      <c r="R183" s="158">
        <v>8.9090649127823843E-2</v>
      </c>
      <c r="S183" s="401">
        <v>0.63743063712189718</v>
      </c>
      <c r="T183" s="153">
        <v>16964</v>
      </c>
      <c r="U183" s="197">
        <v>18780153.609188132</v>
      </c>
      <c r="V183" s="159">
        <v>0</v>
      </c>
      <c r="W183" s="159">
        <v>0</v>
      </c>
      <c r="X183" s="159">
        <v>22714485.75</v>
      </c>
      <c r="Y183" s="159">
        <v>2267298.8733891714</v>
      </c>
      <c r="Z183" s="159">
        <v>0</v>
      </c>
      <c r="AA183" s="155">
        <v>0</v>
      </c>
      <c r="AB183" s="159">
        <v>3877298.8392254668</v>
      </c>
      <c r="AC183" s="159">
        <v>14327455.120000001</v>
      </c>
      <c r="AD183" s="174">
        <f>SUM(Muut[[#This Row],[Työttömyysaste]:[Työttömät ja palveluissa olevat ]])</f>
        <v>61966692.19180277</v>
      </c>
      <c r="AF183" s="62"/>
    </row>
    <row r="184" spans="1:32" s="45" customFormat="1">
      <c r="A184" s="90">
        <v>576</v>
      </c>
      <c r="B184" s="151" t="s">
        <v>183</v>
      </c>
      <c r="C184" s="395">
        <v>2726</v>
      </c>
      <c r="D184" s="134">
        <v>120.41666666666667</v>
      </c>
      <c r="E184" s="41">
        <v>1061</v>
      </c>
      <c r="F184" s="332">
        <f t="shared" si="5"/>
        <v>0.11349355953502985</v>
      </c>
      <c r="G184" s="377">
        <f>Muut[[#This Row],[Keskim. työttömyysaste 2023, %]]/$F$12</f>
        <v>1.1550115001685703</v>
      </c>
      <c r="H184" s="166">
        <v>0</v>
      </c>
      <c r="I184" s="383">
        <v>10</v>
      </c>
      <c r="J184" s="389">
        <v>80</v>
      </c>
      <c r="K184" s="269">
        <v>523.1</v>
      </c>
      <c r="L184" s="170">
        <f t="shared" si="6"/>
        <v>5.2112406805582108</v>
      </c>
      <c r="M184" s="377">
        <v>3.5362863852278892</v>
      </c>
      <c r="N184" s="166">
        <v>0</v>
      </c>
      <c r="O184" s="397">
        <v>0</v>
      </c>
      <c r="P184" s="269">
        <v>593</v>
      </c>
      <c r="Q184" s="15">
        <v>99</v>
      </c>
      <c r="R184" s="158">
        <v>0.16694772344013492</v>
      </c>
      <c r="S184" s="401">
        <v>1.1944866802554284</v>
      </c>
      <c r="T184" s="153">
        <v>155</v>
      </c>
      <c r="U184" s="197">
        <v>217376.67556668547</v>
      </c>
      <c r="V184" s="159">
        <v>0</v>
      </c>
      <c r="W184" s="159">
        <v>0</v>
      </c>
      <c r="X184" s="159">
        <v>141688.79999999999</v>
      </c>
      <c r="Y184" s="159">
        <v>398996.15163897147</v>
      </c>
      <c r="Z184" s="159">
        <v>0</v>
      </c>
      <c r="AA184" s="155">
        <v>0</v>
      </c>
      <c r="AB184" s="159">
        <v>92279.877365264285</v>
      </c>
      <c r="AC184" s="159">
        <v>130909.90000000001</v>
      </c>
      <c r="AD184" s="174">
        <f>SUM(Muut[[#This Row],[Työttömyysaste]:[Työttömät ja palveluissa olevat ]])</f>
        <v>981251.40457092121</v>
      </c>
      <c r="AF184" s="62"/>
    </row>
    <row r="185" spans="1:32" s="45" customFormat="1">
      <c r="A185" s="90">
        <v>577</v>
      </c>
      <c r="B185" s="151" t="s">
        <v>184</v>
      </c>
      <c r="C185" s="395">
        <v>11236</v>
      </c>
      <c r="D185" s="134">
        <v>240.16666666666666</v>
      </c>
      <c r="E185" s="41">
        <v>5157</v>
      </c>
      <c r="F185" s="332">
        <f t="shared" si="5"/>
        <v>4.6571003813586712E-2</v>
      </c>
      <c r="G185" s="377">
        <f>Muut[[#This Row],[Keskim. työttömyysaste 2023, %]]/$F$12</f>
        <v>0.47394799492992085</v>
      </c>
      <c r="H185" s="166">
        <v>0</v>
      </c>
      <c r="I185" s="383">
        <v>92</v>
      </c>
      <c r="J185" s="389">
        <v>525</v>
      </c>
      <c r="K185" s="269">
        <v>238.52</v>
      </c>
      <c r="L185" s="170">
        <f t="shared" si="6"/>
        <v>47.107160825088037</v>
      </c>
      <c r="M185" s="377">
        <v>0.39120250819678387</v>
      </c>
      <c r="N185" s="166">
        <v>0</v>
      </c>
      <c r="O185" s="397">
        <v>0</v>
      </c>
      <c r="P185" s="269">
        <v>3775</v>
      </c>
      <c r="Q185" s="15">
        <v>365</v>
      </c>
      <c r="R185" s="158">
        <v>9.6688741721854307E-2</v>
      </c>
      <c r="S185" s="401">
        <v>0.69179388456187352</v>
      </c>
      <c r="T185" s="153">
        <v>445</v>
      </c>
      <c r="U185" s="197">
        <v>367657.30848809006</v>
      </c>
      <c r="V185" s="159">
        <v>0</v>
      </c>
      <c r="W185" s="159">
        <v>0</v>
      </c>
      <c r="X185" s="159">
        <v>929832.75</v>
      </c>
      <c r="Y185" s="159">
        <v>181931.87170508024</v>
      </c>
      <c r="Z185" s="159">
        <v>0</v>
      </c>
      <c r="AA185" s="155">
        <v>0</v>
      </c>
      <c r="AB185" s="159">
        <v>220286.70910380056</v>
      </c>
      <c r="AC185" s="159">
        <v>375838.10000000003</v>
      </c>
      <c r="AD185" s="174">
        <f>SUM(Muut[[#This Row],[Työttömyysaste]:[Työttömät ja palveluissa olevat ]])</f>
        <v>2075546.7392969709</v>
      </c>
      <c r="AF185" s="62"/>
    </row>
    <row r="186" spans="1:32" s="45" customFormat="1">
      <c r="A186" s="90">
        <v>578</v>
      </c>
      <c r="B186" s="151" t="s">
        <v>185</v>
      </c>
      <c r="C186" s="395">
        <v>3037</v>
      </c>
      <c r="D186" s="134">
        <v>126.16666666666667</v>
      </c>
      <c r="E186" s="41">
        <v>1267</v>
      </c>
      <c r="F186" s="332">
        <f t="shared" si="5"/>
        <v>9.957905814259406E-2</v>
      </c>
      <c r="G186" s="377">
        <f>Muut[[#This Row],[Keskim. työttömyysaste 2023, %]]/$F$12</f>
        <v>1.0134051465286136</v>
      </c>
      <c r="H186" s="166">
        <v>0</v>
      </c>
      <c r="I186" s="383">
        <v>3</v>
      </c>
      <c r="J186" s="389">
        <v>53</v>
      </c>
      <c r="K186" s="269">
        <v>918.81</v>
      </c>
      <c r="L186" s="170">
        <f t="shared" si="6"/>
        <v>3.3053623708927855</v>
      </c>
      <c r="M186" s="377">
        <v>5.5753159263521717</v>
      </c>
      <c r="N186" s="166">
        <v>0</v>
      </c>
      <c r="O186" s="397">
        <v>0</v>
      </c>
      <c r="P186" s="269">
        <v>705</v>
      </c>
      <c r="Q186" s="15">
        <v>71</v>
      </c>
      <c r="R186" s="158">
        <v>0.10070921985815603</v>
      </c>
      <c r="S186" s="401">
        <v>0.72055982088680137</v>
      </c>
      <c r="T186" s="153">
        <v>186</v>
      </c>
      <c r="U186" s="197">
        <v>212485.19712771085</v>
      </c>
      <c r="V186" s="159">
        <v>0</v>
      </c>
      <c r="W186" s="159">
        <v>0</v>
      </c>
      <c r="X186" s="159">
        <v>93868.83</v>
      </c>
      <c r="Y186" s="159">
        <v>700825.18464424275</v>
      </c>
      <c r="Z186" s="159">
        <v>0</v>
      </c>
      <c r="AA186" s="155">
        <v>0</v>
      </c>
      <c r="AB186" s="159">
        <v>62017.560588781336</v>
      </c>
      <c r="AC186" s="159">
        <v>157091.88</v>
      </c>
      <c r="AD186" s="174">
        <f>SUM(Muut[[#This Row],[Työttömyysaste]:[Työttömät ja palveluissa olevat ]])</f>
        <v>1226288.652360735</v>
      </c>
      <c r="AF186" s="62"/>
    </row>
    <row r="187" spans="1:32" s="45" customFormat="1">
      <c r="A187" s="90">
        <v>580</v>
      </c>
      <c r="B187" s="151" t="s">
        <v>186</v>
      </c>
      <c r="C187" s="395">
        <v>4366</v>
      </c>
      <c r="D187" s="134">
        <v>168.08333333333334</v>
      </c>
      <c r="E187" s="41">
        <v>1711</v>
      </c>
      <c r="F187" s="332">
        <f t="shared" si="5"/>
        <v>9.8236898499902595E-2</v>
      </c>
      <c r="G187" s="377">
        <f>Muut[[#This Row],[Keskim. työttömyysaste 2023, %]]/$F$12</f>
        <v>0.99974613513870014</v>
      </c>
      <c r="H187" s="166">
        <v>0</v>
      </c>
      <c r="I187" s="383">
        <v>8</v>
      </c>
      <c r="J187" s="389">
        <v>137</v>
      </c>
      <c r="K187" s="269">
        <v>591.91</v>
      </c>
      <c r="L187" s="170">
        <f t="shared" si="6"/>
        <v>7.3761213698028421</v>
      </c>
      <c r="M187" s="377">
        <v>2.4983915726018346</v>
      </c>
      <c r="N187" s="166">
        <v>3</v>
      </c>
      <c r="O187" s="397">
        <v>166</v>
      </c>
      <c r="P187" s="269">
        <v>949</v>
      </c>
      <c r="Q187" s="15">
        <v>142</v>
      </c>
      <c r="R187" s="158">
        <v>0.14963119072708114</v>
      </c>
      <c r="S187" s="401">
        <v>1.0705894072185353</v>
      </c>
      <c r="T187" s="153">
        <v>224</v>
      </c>
      <c r="U187" s="197">
        <v>301352.11786011461</v>
      </c>
      <c r="V187" s="159">
        <v>0</v>
      </c>
      <c r="W187" s="159">
        <v>0</v>
      </c>
      <c r="X187" s="159">
        <v>242642.06999999998</v>
      </c>
      <c r="Y187" s="159">
        <v>451481.19311149605</v>
      </c>
      <c r="Z187" s="159">
        <v>0</v>
      </c>
      <c r="AA187" s="155">
        <v>48976.640000000007</v>
      </c>
      <c r="AB187" s="159">
        <v>132466.639593303</v>
      </c>
      <c r="AC187" s="159">
        <v>189185.92000000001</v>
      </c>
      <c r="AD187" s="174">
        <f>SUM(Muut[[#This Row],[Työttömyysaste]:[Työttömät ja palveluissa olevat ]])</f>
        <v>1366104.5805649136</v>
      </c>
      <c r="AF187" s="62"/>
    </row>
    <row r="188" spans="1:32" s="45" customFormat="1">
      <c r="A188" s="90">
        <v>581</v>
      </c>
      <c r="B188" s="151" t="s">
        <v>187</v>
      </c>
      <c r="C188" s="395">
        <v>6123</v>
      </c>
      <c r="D188" s="134">
        <v>225.91666666666666</v>
      </c>
      <c r="E188" s="41">
        <v>2483</v>
      </c>
      <c r="F188" s="332">
        <f t="shared" si="5"/>
        <v>9.0985367163377628E-2</v>
      </c>
      <c r="G188" s="377">
        <f>Muut[[#This Row],[Keskim. työttömyysaste 2023, %]]/$F$12</f>
        <v>0.9259480965378053</v>
      </c>
      <c r="H188" s="166">
        <v>0</v>
      </c>
      <c r="I188" s="383">
        <v>8</v>
      </c>
      <c r="J188" s="389">
        <v>186</v>
      </c>
      <c r="K188" s="269">
        <v>852.91</v>
      </c>
      <c r="L188" s="170">
        <f t="shared" si="6"/>
        <v>7.1789520582476465</v>
      </c>
      <c r="M188" s="377">
        <v>2.5670096859933662</v>
      </c>
      <c r="N188" s="166">
        <v>0</v>
      </c>
      <c r="O188" s="397">
        <v>0</v>
      </c>
      <c r="P188" s="269">
        <v>1523</v>
      </c>
      <c r="Q188" s="15">
        <v>262</v>
      </c>
      <c r="R188" s="158">
        <v>0.17202889034799737</v>
      </c>
      <c r="S188" s="401">
        <v>1.2308416904737784</v>
      </c>
      <c r="T188" s="153">
        <v>400</v>
      </c>
      <c r="U188" s="197">
        <v>391427.8166697718</v>
      </c>
      <c r="V188" s="159">
        <v>0</v>
      </c>
      <c r="W188" s="159">
        <v>0</v>
      </c>
      <c r="X188" s="159">
        <v>329426.45999999996</v>
      </c>
      <c r="Y188" s="159">
        <v>650559.75472069427</v>
      </c>
      <c r="Z188" s="159">
        <v>0</v>
      </c>
      <c r="AA188" s="155">
        <v>0</v>
      </c>
      <c r="AB188" s="159">
        <v>213582.81362964859</v>
      </c>
      <c r="AC188" s="159">
        <v>337832</v>
      </c>
      <c r="AD188" s="174">
        <f>SUM(Muut[[#This Row],[Työttömyysaste]:[Työttömät ja palveluissa olevat ]])</f>
        <v>1922828.8450201147</v>
      </c>
      <c r="AF188" s="62"/>
    </row>
    <row r="189" spans="1:32" s="45" customFormat="1">
      <c r="A189" s="90">
        <v>583</v>
      </c>
      <c r="B189" s="151" t="s">
        <v>188</v>
      </c>
      <c r="C189" s="395">
        <v>912</v>
      </c>
      <c r="D189" s="134">
        <v>44.333333333333336</v>
      </c>
      <c r="E189" s="41">
        <v>377</v>
      </c>
      <c r="F189" s="332">
        <f t="shared" si="5"/>
        <v>0.11759504862953139</v>
      </c>
      <c r="G189" s="377">
        <f>Muut[[#This Row],[Keskim. työttömyysaste 2023, %]]/$F$12</f>
        <v>1.1967519045701354</v>
      </c>
      <c r="H189" s="166">
        <v>0</v>
      </c>
      <c r="I189" s="383">
        <v>0</v>
      </c>
      <c r="J189" s="389">
        <v>18</v>
      </c>
      <c r="K189" s="269">
        <v>1836.29</v>
      </c>
      <c r="L189" s="170">
        <f t="shared" si="6"/>
        <v>0.49665357868310561</v>
      </c>
      <c r="M189" s="377">
        <v>37.105218324747348</v>
      </c>
      <c r="N189" s="166">
        <v>0</v>
      </c>
      <c r="O189" s="397">
        <v>0</v>
      </c>
      <c r="P189" s="269">
        <v>259</v>
      </c>
      <c r="Q189" s="15">
        <v>31</v>
      </c>
      <c r="R189" s="158">
        <v>0.11969111969111969</v>
      </c>
      <c r="S189" s="401">
        <v>0.85637255345483954</v>
      </c>
      <c r="T189" s="153">
        <v>59</v>
      </c>
      <c r="U189" s="197">
        <v>75352.861360268202</v>
      </c>
      <c r="V189" s="159">
        <v>0</v>
      </c>
      <c r="W189" s="159">
        <v>0</v>
      </c>
      <c r="X189" s="159">
        <v>31879.98</v>
      </c>
      <c r="Y189" s="159">
        <v>754953.6</v>
      </c>
      <c r="Z189" s="159">
        <v>0</v>
      </c>
      <c r="AA189" s="155">
        <v>0</v>
      </c>
      <c r="AB189" s="159">
        <v>22133.87352639806</v>
      </c>
      <c r="AC189" s="159">
        <v>49830.22</v>
      </c>
      <c r="AD189" s="174">
        <f>SUM(Muut[[#This Row],[Työttömyysaste]:[Työttömät ja palveluissa olevat ]])</f>
        <v>934150.53488666622</v>
      </c>
      <c r="AF189" s="62"/>
    </row>
    <row r="190" spans="1:32" s="45" customFormat="1">
      <c r="A190" s="90">
        <v>584</v>
      </c>
      <c r="B190" s="151" t="s">
        <v>189</v>
      </c>
      <c r="C190" s="395">
        <v>2578</v>
      </c>
      <c r="D190" s="134">
        <v>86.083333333333329</v>
      </c>
      <c r="E190" s="41">
        <v>985</v>
      </c>
      <c r="F190" s="332">
        <f t="shared" si="5"/>
        <v>8.7394247038917086E-2</v>
      </c>
      <c r="G190" s="377">
        <f>Muut[[#This Row],[Keskim. työttömyysaste 2023, %]]/$F$12</f>
        <v>0.88940166113449504</v>
      </c>
      <c r="H190" s="166">
        <v>0</v>
      </c>
      <c r="I190" s="383">
        <v>13</v>
      </c>
      <c r="J190" s="389">
        <v>27</v>
      </c>
      <c r="K190" s="269">
        <v>747.86</v>
      </c>
      <c r="L190" s="170">
        <f t="shared" si="6"/>
        <v>3.4471692562779128</v>
      </c>
      <c r="M190" s="377">
        <v>5.3459630493171257</v>
      </c>
      <c r="N190" s="166">
        <v>0</v>
      </c>
      <c r="O190" s="397">
        <v>0</v>
      </c>
      <c r="P190" s="269">
        <v>593</v>
      </c>
      <c r="Q190" s="15">
        <v>105</v>
      </c>
      <c r="R190" s="158">
        <v>0.17706576728499157</v>
      </c>
      <c r="S190" s="401">
        <v>1.266879812392121</v>
      </c>
      <c r="T190" s="153">
        <v>126</v>
      </c>
      <c r="U190" s="197">
        <v>158300.26138522246</v>
      </c>
      <c r="V190" s="159">
        <v>0</v>
      </c>
      <c r="W190" s="159">
        <v>0</v>
      </c>
      <c r="X190" s="159">
        <v>47819.969999999994</v>
      </c>
      <c r="Y190" s="159">
        <v>570432.54055576597</v>
      </c>
      <c r="Z190" s="159">
        <v>0</v>
      </c>
      <c r="AA190" s="155">
        <v>0</v>
      </c>
      <c r="AB190" s="159">
        <v>92558.897870870802</v>
      </c>
      <c r="AC190" s="159">
        <v>106417.08</v>
      </c>
      <c r="AD190" s="174">
        <f>SUM(Muut[[#This Row],[Työttömyysaste]:[Työttömät ja palveluissa olevat ]])</f>
        <v>975528.74981185922</v>
      </c>
      <c r="AF190" s="62"/>
    </row>
    <row r="191" spans="1:32" s="45" customFormat="1">
      <c r="A191" s="90">
        <v>588</v>
      </c>
      <c r="B191" s="151" t="s">
        <v>190</v>
      </c>
      <c r="C191" s="395">
        <v>1577</v>
      </c>
      <c r="D191" s="134">
        <v>60.916666666666664</v>
      </c>
      <c r="E191" s="41">
        <v>625</v>
      </c>
      <c r="F191" s="332">
        <f t="shared" si="5"/>
        <v>9.746666666666666E-2</v>
      </c>
      <c r="G191" s="377">
        <f>Muut[[#This Row],[Keskim. työttömyysaste 2023, %]]/$F$12</f>
        <v>0.99190757030005983</v>
      </c>
      <c r="H191" s="166">
        <v>0</v>
      </c>
      <c r="I191" s="383">
        <v>4</v>
      </c>
      <c r="J191" s="389">
        <v>58</v>
      </c>
      <c r="K191" s="269">
        <v>374.44</v>
      </c>
      <c r="L191" s="170">
        <f t="shared" si="6"/>
        <v>4.2116226898835594</v>
      </c>
      <c r="M191" s="377">
        <v>4.3756150124913535</v>
      </c>
      <c r="N191" s="166">
        <v>0</v>
      </c>
      <c r="O191" s="397">
        <v>0</v>
      </c>
      <c r="P191" s="269">
        <v>352</v>
      </c>
      <c r="Q191" s="15">
        <v>66</v>
      </c>
      <c r="R191" s="158">
        <v>0.1875</v>
      </c>
      <c r="S191" s="401">
        <v>1.3415352299080854</v>
      </c>
      <c r="T191" s="153">
        <v>91</v>
      </c>
      <c r="U191" s="197">
        <v>107995.00797659495</v>
      </c>
      <c r="V191" s="159">
        <v>0</v>
      </c>
      <c r="W191" s="159">
        <v>0</v>
      </c>
      <c r="X191" s="159">
        <v>102724.37999999999</v>
      </c>
      <c r="Y191" s="159">
        <v>285605.27436378598</v>
      </c>
      <c r="Z191" s="159">
        <v>0</v>
      </c>
      <c r="AA191" s="155">
        <v>0</v>
      </c>
      <c r="AB191" s="159">
        <v>59956.133971393538</v>
      </c>
      <c r="AC191" s="159">
        <v>76856.78</v>
      </c>
      <c r="AD191" s="174">
        <f>SUM(Muut[[#This Row],[Työttömyysaste]:[Työttömät ja palveluissa olevat ]])</f>
        <v>633137.57631177455</v>
      </c>
      <c r="AF191" s="62"/>
    </row>
    <row r="192" spans="1:32" s="45" customFormat="1">
      <c r="A192" s="90">
        <v>592</v>
      </c>
      <c r="B192" s="151" t="s">
        <v>191</v>
      </c>
      <c r="C192" s="395">
        <v>3596</v>
      </c>
      <c r="D192" s="134">
        <v>164.58333333333334</v>
      </c>
      <c r="E192" s="41">
        <v>1643</v>
      </c>
      <c r="F192" s="332">
        <f t="shared" si="5"/>
        <v>0.1001724487725705</v>
      </c>
      <c r="G192" s="377">
        <f>Muut[[#This Row],[Keskim. työttömyysaste 2023, %]]/$F$12</f>
        <v>1.0194440178489155</v>
      </c>
      <c r="H192" s="166">
        <v>0</v>
      </c>
      <c r="I192" s="383">
        <v>6</v>
      </c>
      <c r="J192" s="389">
        <v>61</v>
      </c>
      <c r="K192" s="269">
        <v>456.42</v>
      </c>
      <c r="L192" s="170">
        <f t="shared" si="6"/>
        <v>7.8787082073528767</v>
      </c>
      <c r="M192" s="377">
        <v>2.3390178927562273</v>
      </c>
      <c r="N192" s="166">
        <v>0</v>
      </c>
      <c r="O192" s="397">
        <v>0</v>
      </c>
      <c r="P192" s="269">
        <v>1077</v>
      </c>
      <c r="Q192" s="15">
        <v>97</v>
      </c>
      <c r="R192" s="158">
        <v>9.0064995357474462E-2</v>
      </c>
      <c r="S192" s="401">
        <v>0.64440194268565409</v>
      </c>
      <c r="T192" s="153">
        <v>231</v>
      </c>
      <c r="U192" s="197">
        <v>253095.16431227172</v>
      </c>
      <c r="V192" s="159">
        <v>0</v>
      </c>
      <c r="W192" s="159">
        <v>0</v>
      </c>
      <c r="X192" s="159">
        <v>108037.70999999999</v>
      </c>
      <c r="Y192" s="159">
        <v>348135.77428992419</v>
      </c>
      <c r="Z192" s="159">
        <v>0</v>
      </c>
      <c r="AA192" s="155">
        <v>0</v>
      </c>
      <c r="AB192" s="159">
        <v>65671.414396338325</v>
      </c>
      <c r="AC192" s="159">
        <v>195097.98</v>
      </c>
      <c r="AD192" s="174">
        <f>SUM(Muut[[#This Row],[Työttömyysaste]:[Työttömät ja palveluissa olevat ]])</f>
        <v>970038.04299853416</v>
      </c>
      <c r="AF192" s="62"/>
    </row>
    <row r="193" spans="1:32" s="45" customFormat="1">
      <c r="A193" s="90">
        <v>593</v>
      </c>
      <c r="B193" s="151" t="s">
        <v>192</v>
      </c>
      <c r="C193" s="395">
        <v>17050</v>
      </c>
      <c r="D193" s="134">
        <v>659.33333333333337</v>
      </c>
      <c r="E193" s="41">
        <v>6971</v>
      </c>
      <c r="F193" s="332">
        <f t="shared" si="5"/>
        <v>9.4582317218954728E-2</v>
      </c>
      <c r="G193" s="377">
        <f>Muut[[#This Row],[Keskim. työttömyysaste 2023, %]]/$F$12</f>
        <v>0.96255386251028963</v>
      </c>
      <c r="H193" s="166">
        <v>0</v>
      </c>
      <c r="I193" s="383">
        <v>20</v>
      </c>
      <c r="J193" s="389">
        <v>820</v>
      </c>
      <c r="K193" s="269">
        <v>1569.02</v>
      </c>
      <c r="L193" s="170">
        <f t="shared" si="6"/>
        <v>10.866655619431237</v>
      </c>
      <c r="M193" s="377">
        <v>1.695870386823602</v>
      </c>
      <c r="N193" s="166">
        <v>0</v>
      </c>
      <c r="O193" s="397">
        <v>0</v>
      </c>
      <c r="P193" s="269">
        <v>4342</v>
      </c>
      <c r="Q193" s="15">
        <v>607</v>
      </c>
      <c r="R193" s="158">
        <v>0.13979732842008291</v>
      </c>
      <c r="S193" s="401">
        <v>1.0002295526537175</v>
      </c>
      <c r="T193" s="153">
        <v>1038</v>
      </c>
      <c r="U193" s="197">
        <v>1133052.9532844622</v>
      </c>
      <c r="V193" s="159">
        <v>0</v>
      </c>
      <c r="W193" s="159">
        <v>0</v>
      </c>
      <c r="X193" s="159">
        <v>1452310.2</v>
      </c>
      <c r="Y193" s="159">
        <v>1196774.8840462225</v>
      </c>
      <c r="Z193" s="159">
        <v>0</v>
      </c>
      <c r="AA193" s="155">
        <v>0</v>
      </c>
      <c r="AB193" s="159">
        <v>483307.91915361839</v>
      </c>
      <c r="AC193" s="159">
        <v>876674.04</v>
      </c>
      <c r="AD193" s="174">
        <f>SUM(Muut[[#This Row],[Työttömyysaste]:[Työttömät ja palveluissa olevat ]])</f>
        <v>5142119.9964843029</v>
      </c>
      <c r="AF193" s="62"/>
    </row>
    <row r="194" spans="1:32" s="45" customFormat="1">
      <c r="A194" s="90">
        <v>595</v>
      </c>
      <c r="B194" s="151" t="s">
        <v>193</v>
      </c>
      <c r="C194" s="395">
        <v>4073</v>
      </c>
      <c r="D194" s="134">
        <v>134.25</v>
      </c>
      <c r="E194" s="41">
        <v>1550</v>
      </c>
      <c r="F194" s="332">
        <f t="shared" si="5"/>
        <v>8.6612903225806448E-2</v>
      </c>
      <c r="G194" s="377">
        <f>Muut[[#This Row],[Keskim. työttömyysaste 2023, %]]/$F$12</f>
        <v>0.88145001089614117</v>
      </c>
      <c r="H194" s="166">
        <v>0</v>
      </c>
      <c r="I194" s="383">
        <v>10</v>
      </c>
      <c r="J194" s="389">
        <v>80</v>
      </c>
      <c r="K194" s="269">
        <v>1153.23</v>
      </c>
      <c r="L194" s="170">
        <f t="shared" si="6"/>
        <v>3.5318193248528047</v>
      </c>
      <c r="M194" s="377">
        <v>5.2178318803359964</v>
      </c>
      <c r="N194" s="166">
        <v>0</v>
      </c>
      <c r="O194" s="397">
        <v>0</v>
      </c>
      <c r="P194" s="269">
        <v>866</v>
      </c>
      <c r="Q194" s="15">
        <v>127</v>
      </c>
      <c r="R194" s="158">
        <v>0.14665127020785218</v>
      </c>
      <c r="S194" s="401">
        <v>1.0492685093045531</v>
      </c>
      <c r="T194" s="153">
        <v>187</v>
      </c>
      <c r="U194" s="197">
        <v>247863.67254799407</v>
      </c>
      <c r="V194" s="159">
        <v>0</v>
      </c>
      <c r="W194" s="159">
        <v>0</v>
      </c>
      <c r="X194" s="159">
        <v>141688.79999999999</v>
      </c>
      <c r="Y194" s="159">
        <v>879629.76859990635</v>
      </c>
      <c r="Z194" s="159">
        <v>0</v>
      </c>
      <c r="AA194" s="155">
        <v>0</v>
      </c>
      <c r="AB194" s="159">
        <v>121115.82589218357</v>
      </c>
      <c r="AC194" s="159">
        <v>157936.46000000002</v>
      </c>
      <c r="AD194" s="174">
        <f>SUM(Muut[[#This Row],[Työttömyysaste]:[Työttömät ja palveluissa olevat ]])</f>
        <v>1548234.5270400839</v>
      </c>
      <c r="AF194" s="62"/>
    </row>
    <row r="195" spans="1:32" s="45" customFormat="1">
      <c r="A195" s="90">
        <v>598</v>
      </c>
      <c r="B195" s="151" t="s">
        <v>194</v>
      </c>
      <c r="C195" s="395">
        <v>19475</v>
      </c>
      <c r="D195" s="134">
        <v>705.25</v>
      </c>
      <c r="E195" s="41">
        <v>8643</v>
      </c>
      <c r="F195" s="332">
        <f t="shared" si="5"/>
        <v>8.1597824829341664E-2</v>
      </c>
      <c r="G195" s="377">
        <f>Muut[[#This Row],[Keskim. työttömyysaste 2023, %]]/$F$12</f>
        <v>0.83041210842929736</v>
      </c>
      <c r="H195" s="166">
        <v>3</v>
      </c>
      <c r="I195" s="383">
        <v>10535</v>
      </c>
      <c r="J195" s="389">
        <v>2855</v>
      </c>
      <c r="K195" s="269">
        <v>88.52</v>
      </c>
      <c r="L195" s="170">
        <f t="shared" si="6"/>
        <v>220.00677812923635</v>
      </c>
      <c r="M195" s="377">
        <v>8.3763053236380239E-2</v>
      </c>
      <c r="N195" s="166">
        <v>0</v>
      </c>
      <c r="O195" s="397">
        <v>0</v>
      </c>
      <c r="P195" s="269">
        <v>5891</v>
      </c>
      <c r="Q195" s="15">
        <v>1046</v>
      </c>
      <c r="R195" s="158">
        <v>0.17755898828721778</v>
      </c>
      <c r="S195" s="401">
        <v>1.2704087369287451</v>
      </c>
      <c r="T195" s="153">
        <v>1184</v>
      </c>
      <c r="U195" s="197">
        <v>1116533.9220370457</v>
      </c>
      <c r="V195" s="159">
        <v>399486.78</v>
      </c>
      <c r="W195" s="159">
        <v>2871074.0520000006</v>
      </c>
      <c r="X195" s="159">
        <v>5056519.05</v>
      </c>
      <c r="Y195" s="159">
        <v>67518.905263012333</v>
      </c>
      <c r="Z195" s="159">
        <v>0</v>
      </c>
      <c r="AA195" s="155">
        <v>0</v>
      </c>
      <c r="AB195" s="159">
        <v>701165.89569881838</v>
      </c>
      <c r="AC195" s="159">
        <v>999982.72000000009</v>
      </c>
      <c r="AD195" s="174">
        <f>SUM(Muut[[#This Row],[Työttömyysaste]:[Työttömät ja palveluissa olevat ]])</f>
        <v>11212281.324998876</v>
      </c>
      <c r="AF195" s="62"/>
    </row>
    <row r="196" spans="1:32" s="45" customFormat="1">
      <c r="A196" s="90">
        <v>599</v>
      </c>
      <c r="B196" s="151" t="s">
        <v>195</v>
      </c>
      <c r="C196" s="395">
        <v>11225</v>
      </c>
      <c r="D196" s="134">
        <v>118.83333333333333</v>
      </c>
      <c r="E196" s="41">
        <v>5288</v>
      </c>
      <c r="F196" s="332">
        <f t="shared" si="5"/>
        <v>2.2472264246091778E-2</v>
      </c>
      <c r="G196" s="377">
        <f>Muut[[#This Row],[Keskim. työttömyysaste 2023, %]]/$F$12</f>
        <v>0.22869776703982697</v>
      </c>
      <c r="H196" s="166">
        <v>3</v>
      </c>
      <c r="I196" s="383">
        <v>9924</v>
      </c>
      <c r="J196" s="389">
        <v>397</v>
      </c>
      <c r="K196" s="269">
        <v>794.24</v>
      </c>
      <c r="L196" s="170">
        <f t="shared" si="6"/>
        <v>14.133007655116842</v>
      </c>
      <c r="M196" s="377">
        <v>1.3039290658087008</v>
      </c>
      <c r="N196" s="166">
        <v>0</v>
      </c>
      <c r="O196" s="397">
        <v>0</v>
      </c>
      <c r="P196" s="269">
        <v>3264</v>
      </c>
      <c r="Q196" s="15">
        <v>309</v>
      </c>
      <c r="R196" s="158">
        <v>9.466911764705882E-2</v>
      </c>
      <c r="S196" s="401">
        <v>0.67734376804182739</v>
      </c>
      <c r="T196" s="153">
        <v>203</v>
      </c>
      <c r="U196" s="197">
        <v>177234.82331392288</v>
      </c>
      <c r="V196" s="159">
        <v>230256.18000000002</v>
      </c>
      <c r="W196" s="159">
        <v>2704559.9328000005</v>
      </c>
      <c r="X196" s="159">
        <v>703130.66999999993</v>
      </c>
      <c r="Y196" s="159">
        <v>605809.02977965341</v>
      </c>
      <c r="Z196" s="159">
        <v>0</v>
      </c>
      <c r="AA196" s="155">
        <v>0</v>
      </c>
      <c r="AB196" s="159">
        <v>215474.22878627799</v>
      </c>
      <c r="AC196" s="159">
        <v>171449.74000000002</v>
      </c>
      <c r="AD196" s="174">
        <f>SUM(Muut[[#This Row],[Työttömyysaste]:[Työttömät ja palveluissa olevat ]])</f>
        <v>4807914.6046798546</v>
      </c>
      <c r="AF196" s="62"/>
    </row>
    <row r="197" spans="1:32" s="45" customFormat="1">
      <c r="A197" s="90">
        <v>601</v>
      </c>
      <c r="B197" s="151" t="s">
        <v>196</v>
      </c>
      <c r="C197" s="395">
        <v>3739</v>
      </c>
      <c r="D197" s="134">
        <v>172.25</v>
      </c>
      <c r="E197" s="41">
        <v>1579</v>
      </c>
      <c r="F197" s="332">
        <f t="shared" si="5"/>
        <v>0.10908803039898671</v>
      </c>
      <c r="G197" s="377">
        <f>Muut[[#This Row],[Keskim. työttömyysaste 2023, %]]/$F$12</f>
        <v>1.1101769136307589</v>
      </c>
      <c r="H197" s="166">
        <v>0</v>
      </c>
      <c r="I197" s="383">
        <v>0</v>
      </c>
      <c r="J197" s="389">
        <v>55</v>
      </c>
      <c r="K197" s="269">
        <v>1074.94</v>
      </c>
      <c r="L197" s="170">
        <f t="shared" si="6"/>
        <v>3.4783336744376427</v>
      </c>
      <c r="M197" s="377">
        <v>5.2980654513495251</v>
      </c>
      <c r="N197" s="166">
        <v>0</v>
      </c>
      <c r="O197" s="397">
        <v>0</v>
      </c>
      <c r="P197" s="269">
        <v>900</v>
      </c>
      <c r="Q197" s="15">
        <v>128</v>
      </c>
      <c r="R197" s="158">
        <v>0.14222222222222222</v>
      </c>
      <c r="S197" s="401">
        <v>1.017579315130281</v>
      </c>
      <c r="T197" s="153">
        <v>243</v>
      </c>
      <c r="U197" s="197">
        <v>286581.69018371578</v>
      </c>
      <c r="V197" s="159">
        <v>0</v>
      </c>
      <c r="W197" s="159">
        <v>0</v>
      </c>
      <c r="X197" s="159">
        <v>97411.049999999988</v>
      </c>
      <c r="Y197" s="159">
        <v>819913.82764824317</v>
      </c>
      <c r="Z197" s="159">
        <v>0</v>
      </c>
      <c r="AA197" s="155">
        <v>0</v>
      </c>
      <c r="AB197" s="159">
        <v>107826.0215397719</v>
      </c>
      <c r="AC197" s="159">
        <v>205232.94</v>
      </c>
      <c r="AD197" s="174">
        <f>SUM(Muut[[#This Row],[Työttömyysaste]:[Työttömät ja palveluissa olevat ]])</f>
        <v>1516965.5293717308</v>
      </c>
      <c r="AF197" s="62"/>
    </row>
    <row r="198" spans="1:32" s="45" customFormat="1">
      <c r="A198" s="90">
        <v>604</v>
      </c>
      <c r="B198" s="151" t="s">
        <v>197</v>
      </c>
      <c r="C198" s="395">
        <v>20763</v>
      </c>
      <c r="D198" s="134">
        <v>689</v>
      </c>
      <c r="E198" s="41">
        <v>10206</v>
      </c>
      <c r="F198" s="332">
        <f t="shared" si="5"/>
        <v>6.7509308250048986E-2</v>
      </c>
      <c r="G198" s="377">
        <f>Muut[[#This Row],[Keskim. työttömyysaste 2023, %]]/$F$12</f>
        <v>0.68703482132979354</v>
      </c>
      <c r="H198" s="166">
        <v>0</v>
      </c>
      <c r="I198" s="383">
        <v>80</v>
      </c>
      <c r="J198" s="389">
        <v>964</v>
      </c>
      <c r="K198" s="269">
        <v>81.430000000000007</v>
      </c>
      <c r="L198" s="170">
        <f t="shared" si="6"/>
        <v>254.97973719759301</v>
      </c>
      <c r="M198" s="377">
        <v>7.2274133118753886E-2</v>
      </c>
      <c r="N198" s="166">
        <v>0</v>
      </c>
      <c r="O198" s="397">
        <v>0</v>
      </c>
      <c r="P198" s="269">
        <v>7373</v>
      </c>
      <c r="Q198" s="15">
        <v>482</v>
      </c>
      <c r="R198" s="158">
        <v>6.5373660653736607E-2</v>
      </c>
      <c r="S198" s="401">
        <v>0.46773903400023298</v>
      </c>
      <c r="T198" s="153">
        <v>994</v>
      </c>
      <c r="U198" s="197">
        <v>984848.97183347552</v>
      </c>
      <c r="V198" s="159">
        <v>0</v>
      </c>
      <c r="W198" s="159">
        <v>0</v>
      </c>
      <c r="X198" s="159">
        <v>1707350.0399999998</v>
      </c>
      <c r="Y198" s="159">
        <v>62110.985715850591</v>
      </c>
      <c r="Z198" s="159">
        <v>0</v>
      </c>
      <c r="AA198" s="155">
        <v>0</v>
      </c>
      <c r="AB198" s="159">
        <v>275228.60205391335</v>
      </c>
      <c r="AC198" s="159">
        <v>839512.52</v>
      </c>
      <c r="AD198" s="174">
        <f>SUM(Muut[[#This Row],[Työttömyysaste]:[Työttömät ja palveluissa olevat ]])</f>
        <v>3869051.1196032395</v>
      </c>
      <c r="AF198" s="62"/>
    </row>
    <row r="199" spans="1:32" s="45" customFormat="1">
      <c r="A199" s="90">
        <v>607</v>
      </c>
      <c r="B199" s="151" t="s">
        <v>198</v>
      </c>
      <c r="C199" s="395">
        <v>4064</v>
      </c>
      <c r="D199" s="134">
        <v>198.75</v>
      </c>
      <c r="E199" s="41">
        <v>1680</v>
      </c>
      <c r="F199" s="332">
        <f t="shared" si="5"/>
        <v>0.11830357142857142</v>
      </c>
      <c r="G199" s="377">
        <f>Muut[[#This Row],[Keskim. työttömyysaste 2023, %]]/$F$12</f>
        <v>1.2039624633399506</v>
      </c>
      <c r="H199" s="166">
        <v>0</v>
      </c>
      <c r="I199" s="383">
        <v>5</v>
      </c>
      <c r="J199" s="389">
        <v>63</v>
      </c>
      <c r="K199" s="269">
        <v>804.62</v>
      </c>
      <c r="L199" s="170">
        <f t="shared" si="6"/>
        <v>5.0508314483855736</v>
      </c>
      <c r="M199" s="377">
        <v>3.6485952178614292</v>
      </c>
      <c r="N199" s="166">
        <v>0</v>
      </c>
      <c r="O199" s="397">
        <v>0</v>
      </c>
      <c r="P199" s="269">
        <v>1036</v>
      </c>
      <c r="Q199" s="15">
        <v>121</v>
      </c>
      <c r="R199" s="158">
        <v>0.1167953667953668</v>
      </c>
      <c r="S199" s="401">
        <v>0.83565386264544828</v>
      </c>
      <c r="T199" s="153">
        <v>278</v>
      </c>
      <c r="U199" s="197">
        <v>337806.05425797612</v>
      </c>
      <c r="V199" s="159">
        <v>0</v>
      </c>
      <c r="W199" s="159">
        <v>0</v>
      </c>
      <c r="X199" s="159">
        <v>111579.93</v>
      </c>
      <c r="Y199" s="159">
        <v>613726.40705744445</v>
      </c>
      <c r="Z199" s="159">
        <v>0</v>
      </c>
      <c r="AA199" s="155">
        <v>0</v>
      </c>
      <c r="AB199" s="159">
        <v>96245.397419399829</v>
      </c>
      <c r="AC199" s="159">
        <v>234793.24000000002</v>
      </c>
      <c r="AD199" s="174">
        <f>SUM(Muut[[#This Row],[Työttömyysaste]:[Työttömät ja palveluissa olevat ]])</f>
        <v>1394151.0287348204</v>
      </c>
      <c r="AF199" s="62"/>
    </row>
    <row r="200" spans="1:32" s="45" customFormat="1">
      <c r="A200" s="90">
        <v>608</v>
      </c>
      <c r="B200" s="151" t="s">
        <v>199</v>
      </c>
      <c r="C200" s="395">
        <v>1943</v>
      </c>
      <c r="D200" s="134">
        <v>59.083333333333336</v>
      </c>
      <c r="E200" s="41">
        <v>805</v>
      </c>
      <c r="F200" s="332">
        <f t="shared" si="5"/>
        <v>7.3395445134575577E-2</v>
      </c>
      <c r="G200" s="377">
        <f>Muut[[#This Row],[Keskim. työttömyysaste 2023, %]]/$F$12</f>
        <v>0.74693739043633589</v>
      </c>
      <c r="H200" s="166">
        <v>0</v>
      </c>
      <c r="I200" s="383">
        <v>1</v>
      </c>
      <c r="J200" s="389">
        <v>30</v>
      </c>
      <c r="K200" s="269">
        <v>301.22000000000003</v>
      </c>
      <c r="L200" s="170">
        <f t="shared" si="6"/>
        <v>6.4504348980811361</v>
      </c>
      <c r="M200" s="377">
        <v>2.8569297667488716</v>
      </c>
      <c r="N200" s="166">
        <v>0</v>
      </c>
      <c r="O200" s="397">
        <v>0</v>
      </c>
      <c r="P200" s="269">
        <v>497</v>
      </c>
      <c r="Q200" s="15">
        <v>82</v>
      </c>
      <c r="R200" s="158">
        <v>0.16498993963782696</v>
      </c>
      <c r="S200" s="401">
        <v>1.1804790218909509</v>
      </c>
      <c r="T200" s="153">
        <v>88</v>
      </c>
      <c r="U200" s="197">
        <v>100197.70709761296</v>
      </c>
      <c r="V200" s="159">
        <v>0</v>
      </c>
      <c r="W200" s="159">
        <v>0</v>
      </c>
      <c r="X200" s="159">
        <v>53133.299999999996</v>
      </c>
      <c r="Y200" s="159">
        <v>229756.49167786463</v>
      </c>
      <c r="Z200" s="159">
        <v>0</v>
      </c>
      <c r="AA200" s="155">
        <v>0</v>
      </c>
      <c r="AB200" s="159">
        <v>65002.628758396895</v>
      </c>
      <c r="AC200" s="159">
        <v>74323.040000000008</v>
      </c>
      <c r="AD200" s="174">
        <f>SUM(Muut[[#This Row],[Työttömyysaste]:[Työttömät ja palveluissa olevat ]])</f>
        <v>522413.16753387451</v>
      </c>
      <c r="AF200" s="62"/>
    </row>
    <row r="201" spans="1:32" s="45" customFormat="1">
      <c r="A201" s="151">
        <v>609</v>
      </c>
      <c r="B201" s="151" t="s">
        <v>200</v>
      </c>
      <c r="C201" s="395">
        <v>83106</v>
      </c>
      <c r="D201" s="134">
        <v>4408.833333333333</v>
      </c>
      <c r="E201" s="41">
        <v>38007</v>
      </c>
      <c r="F201" s="332">
        <f t="shared" si="5"/>
        <v>0.11600056130011137</v>
      </c>
      <c r="G201" s="377">
        <f>Muut[[#This Row],[Keskim. työttömyysaste 2023, %]]/$F$12</f>
        <v>1.1805249820037957</v>
      </c>
      <c r="H201" s="166">
        <v>0</v>
      </c>
      <c r="I201" s="383">
        <v>472</v>
      </c>
      <c r="J201" s="389">
        <v>4282</v>
      </c>
      <c r="K201" s="269">
        <v>1156.48</v>
      </c>
      <c r="L201" s="170">
        <f t="shared" si="6"/>
        <v>71.861164914222471</v>
      </c>
      <c r="M201" s="377">
        <v>0.25644504219770081</v>
      </c>
      <c r="N201" s="166">
        <v>3</v>
      </c>
      <c r="O201" s="397">
        <v>902</v>
      </c>
      <c r="P201" s="269">
        <v>24329</v>
      </c>
      <c r="Q201" s="15">
        <v>3063</v>
      </c>
      <c r="R201" s="158">
        <v>0.12589913272226561</v>
      </c>
      <c r="S201" s="401">
        <v>0.90078998379622999</v>
      </c>
      <c r="T201" s="153">
        <v>6223</v>
      </c>
      <c r="U201" s="197">
        <v>6773425.280020291</v>
      </c>
      <c r="V201" s="159">
        <v>0</v>
      </c>
      <c r="W201" s="159">
        <v>0</v>
      </c>
      <c r="X201" s="159">
        <v>7583893.0199999996</v>
      </c>
      <c r="Y201" s="159">
        <v>882108.71620615118</v>
      </c>
      <c r="Z201" s="159">
        <v>0</v>
      </c>
      <c r="AA201" s="155">
        <v>266126.08000000002</v>
      </c>
      <c r="AB201" s="159">
        <v>2121562.2248280915</v>
      </c>
      <c r="AC201" s="159">
        <v>5255821.34</v>
      </c>
      <c r="AD201" s="174">
        <f>SUM(Muut[[#This Row],[Työttömyysaste]:[Työttömät ja palveluissa olevat ]])</f>
        <v>22882936.661054533</v>
      </c>
      <c r="AF201" s="62"/>
    </row>
    <row r="202" spans="1:32" s="45" customFormat="1">
      <c r="A202" s="90">
        <v>611</v>
      </c>
      <c r="B202" s="151" t="s">
        <v>201</v>
      </c>
      <c r="C202" s="395">
        <v>4973</v>
      </c>
      <c r="D202" s="134">
        <v>169.83333333333334</v>
      </c>
      <c r="E202" s="41">
        <v>2629</v>
      </c>
      <c r="F202" s="332">
        <f t="shared" si="5"/>
        <v>6.4599974641815647E-2</v>
      </c>
      <c r="G202" s="377">
        <f>Muut[[#This Row],[Keskim. työttömyysaste 2023, %]]/$F$12</f>
        <v>0.65742685248025479</v>
      </c>
      <c r="H202" s="166">
        <v>0</v>
      </c>
      <c r="I202" s="383">
        <v>114</v>
      </c>
      <c r="J202" s="389">
        <v>190</v>
      </c>
      <c r="K202" s="269">
        <v>146.53</v>
      </c>
      <c r="L202" s="170">
        <f t="shared" si="6"/>
        <v>33.938442639732479</v>
      </c>
      <c r="M202" s="377">
        <v>0.54299602561106153</v>
      </c>
      <c r="N202" s="166">
        <v>0</v>
      </c>
      <c r="O202" s="397">
        <v>0</v>
      </c>
      <c r="P202" s="269">
        <v>1667</v>
      </c>
      <c r="Q202" s="15">
        <v>213</v>
      </c>
      <c r="R202" s="158">
        <v>0.1277744451109778</v>
      </c>
      <c r="S202" s="401">
        <v>0.91420757119111262</v>
      </c>
      <c r="T202" s="153">
        <v>213</v>
      </c>
      <c r="U202" s="197">
        <v>225718.2532290126</v>
      </c>
      <c r="V202" s="159">
        <v>0</v>
      </c>
      <c r="W202" s="159">
        <v>0</v>
      </c>
      <c r="X202" s="159">
        <v>336510.89999999997</v>
      </c>
      <c r="Y202" s="159">
        <v>111766.21315170807</v>
      </c>
      <c r="Z202" s="159">
        <v>0</v>
      </c>
      <c r="AA202" s="155">
        <v>0</v>
      </c>
      <c r="AB202" s="159">
        <v>128843.67948845663</v>
      </c>
      <c r="AC202" s="159">
        <v>179895.54</v>
      </c>
      <c r="AD202" s="174">
        <f>SUM(Muut[[#This Row],[Työttömyysaste]:[Työttömät ja palveluissa olevat ]])</f>
        <v>982734.58586917724</v>
      </c>
      <c r="AF202" s="62"/>
    </row>
    <row r="203" spans="1:32" s="45" customFormat="1">
      <c r="A203" s="90">
        <v>614</v>
      </c>
      <c r="B203" s="151" t="s">
        <v>202</v>
      </c>
      <c r="C203" s="395">
        <v>2923</v>
      </c>
      <c r="D203" s="134">
        <v>164.66666666666666</v>
      </c>
      <c r="E203" s="41">
        <v>1196</v>
      </c>
      <c r="F203" s="332">
        <f t="shared" si="5"/>
        <v>0.13768115942028986</v>
      </c>
      <c r="G203" s="377">
        <f>Muut[[#This Row],[Keskim. työttömyysaste 2023, %]]/$F$12</f>
        <v>1.4011660497606864</v>
      </c>
      <c r="H203" s="166">
        <v>0</v>
      </c>
      <c r="I203" s="383">
        <v>3</v>
      </c>
      <c r="J203" s="389">
        <v>65</v>
      </c>
      <c r="K203" s="269">
        <v>3039.66</v>
      </c>
      <c r="L203" s="170">
        <f t="shared" si="6"/>
        <v>0.9616207075791372</v>
      </c>
      <c r="M203" s="377">
        <v>19.163937843224055</v>
      </c>
      <c r="N203" s="166">
        <v>0</v>
      </c>
      <c r="O203" s="397">
        <v>0</v>
      </c>
      <c r="P203" s="269">
        <v>606</v>
      </c>
      <c r="Q203" s="15">
        <v>87</v>
      </c>
      <c r="R203" s="158">
        <v>0.14356435643564355</v>
      </c>
      <c r="S203" s="401">
        <v>1.0271820902266526</v>
      </c>
      <c r="T203" s="153">
        <v>217</v>
      </c>
      <c r="U203" s="197">
        <v>282760.80141262157</v>
      </c>
      <c r="V203" s="159">
        <v>0</v>
      </c>
      <c r="W203" s="159">
        <v>0</v>
      </c>
      <c r="X203" s="159">
        <v>115122.15</v>
      </c>
      <c r="Y203" s="159">
        <v>2318510.1171686407</v>
      </c>
      <c r="Z203" s="159">
        <v>0</v>
      </c>
      <c r="AA203" s="155">
        <v>0</v>
      </c>
      <c r="AB203" s="159">
        <v>85089.525097419217</v>
      </c>
      <c r="AC203" s="159">
        <v>183273.86000000002</v>
      </c>
      <c r="AD203" s="174">
        <f>SUM(Muut[[#This Row],[Työttömyysaste]:[Työttömät ja palveluissa olevat ]])</f>
        <v>2984756.453678681</v>
      </c>
      <c r="AF203" s="62"/>
    </row>
    <row r="204" spans="1:32" s="45" customFormat="1">
      <c r="A204" s="90">
        <v>615</v>
      </c>
      <c r="B204" s="151" t="s">
        <v>203</v>
      </c>
      <c r="C204" s="395">
        <v>7479</v>
      </c>
      <c r="D204" s="134">
        <v>431.83333333333331</v>
      </c>
      <c r="E204" s="41">
        <v>2893</v>
      </c>
      <c r="F204" s="332">
        <f t="shared" si="5"/>
        <v>0.14926834888812074</v>
      </c>
      <c r="G204" s="377">
        <f>Muut[[#This Row],[Keskim. työttömyysaste 2023, %]]/$F$12</f>
        <v>1.5190876053520945</v>
      </c>
      <c r="H204" s="166">
        <v>0</v>
      </c>
      <c r="I204" s="383">
        <v>4</v>
      </c>
      <c r="J204" s="389">
        <v>211</v>
      </c>
      <c r="K204" s="269">
        <v>5638.43</v>
      </c>
      <c r="L204" s="170">
        <f t="shared" si="6"/>
        <v>1.3264330673609497</v>
      </c>
      <c r="M204" s="377">
        <v>13.893229837423046</v>
      </c>
      <c r="N204" s="166">
        <v>0</v>
      </c>
      <c r="O204" s="397">
        <v>0</v>
      </c>
      <c r="P204" s="269">
        <v>1721</v>
      </c>
      <c r="Q204" s="15">
        <v>259</v>
      </c>
      <c r="R204" s="158">
        <v>0.15049389889599071</v>
      </c>
      <c r="S204" s="401">
        <v>1.0767619586943842</v>
      </c>
      <c r="T204" s="153">
        <v>603</v>
      </c>
      <c r="U204" s="197">
        <v>784381.12807757093</v>
      </c>
      <c r="V204" s="159">
        <v>0</v>
      </c>
      <c r="W204" s="159">
        <v>0</v>
      </c>
      <c r="X204" s="159">
        <v>373704.20999999996</v>
      </c>
      <c r="Y204" s="159">
        <v>4300730.0158396596</v>
      </c>
      <c r="Z204" s="159">
        <v>0</v>
      </c>
      <c r="AA204" s="155">
        <v>0</v>
      </c>
      <c r="AB204" s="159">
        <v>228224.93020839398</v>
      </c>
      <c r="AC204" s="159">
        <v>509281.74000000005</v>
      </c>
      <c r="AD204" s="174">
        <f>SUM(Muut[[#This Row],[Työttömyysaste]:[Työttömät ja palveluissa olevat ]])</f>
        <v>6196322.0241256244</v>
      </c>
      <c r="AF204" s="62"/>
    </row>
    <row r="205" spans="1:32" s="45" customFormat="1">
      <c r="A205" s="90">
        <v>616</v>
      </c>
      <c r="B205" s="151" t="s">
        <v>204</v>
      </c>
      <c r="C205" s="395">
        <v>1781</v>
      </c>
      <c r="D205" s="134">
        <v>71.166666666666671</v>
      </c>
      <c r="E205" s="41">
        <v>908</v>
      </c>
      <c r="F205" s="332">
        <f t="shared" ref="F205:F268" si="7">D205/E205</f>
        <v>7.8377386196769455E-2</v>
      </c>
      <c r="G205" s="377">
        <f>Muut[[#This Row],[Keskim. työttömyysaste 2023, %]]/$F$12</f>
        <v>0.79763805788892306</v>
      </c>
      <c r="H205" s="166">
        <v>0</v>
      </c>
      <c r="I205" s="383">
        <v>14</v>
      </c>
      <c r="J205" s="389">
        <v>60</v>
      </c>
      <c r="K205" s="269">
        <v>145.09</v>
      </c>
      <c r="L205" s="170">
        <f t="shared" si="6"/>
        <v>12.275139568543663</v>
      </c>
      <c r="M205" s="377">
        <v>1.5012814612738528</v>
      </c>
      <c r="N205" s="166">
        <v>0</v>
      </c>
      <c r="O205" s="397">
        <v>0</v>
      </c>
      <c r="P205" s="269">
        <v>524</v>
      </c>
      <c r="Q205" s="15">
        <v>68</v>
      </c>
      <c r="R205" s="158">
        <v>0.12977099236641221</v>
      </c>
      <c r="S205" s="401">
        <v>0.92849257642493432</v>
      </c>
      <c r="T205" s="153">
        <v>91</v>
      </c>
      <c r="U205" s="197">
        <v>98077.767031155876</v>
      </c>
      <c r="V205" s="159">
        <v>0</v>
      </c>
      <c r="W205" s="159">
        <v>0</v>
      </c>
      <c r="X205" s="159">
        <v>106266.59999999999</v>
      </c>
      <c r="Y205" s="159">
        <v>110667.84867386421</v>
      </c>
      <c r="Z205" s="159">
        <v>0</v>
      </c>
      <c r="AA205" s="155">
        <v>0</v>
      </c>
      <c r="AB205" s="159">
        <v>46864.307195886977</v>
      </c>
      <c r="AC205" s="159">
        <v>76856.78</v>
      </c>
      <c r="AD205" s="174">
        <f>SUM(Muut[[#This Row],[Työttömyysaste]:[Työttömät ja palveluissa olevat ]])</f>
        <v>438733.302900907</v>
      </c>
      <c r="AF205" s="62"/>
    </row>
    <row r="206" spans="1:32" s="45" customFormat="1">
      <c r="A206" s="90">
        <v>619</v>
      </c>
      <c r="B206" s="151" t="s">
        <v>205</v>
      </c>
      <c r="C206" s="395">
        <v>2650</v>
      </c>
      <c r="D206" s="134">
        <v>65.583333333333329</v>
      </c>
      <c r="E206" s="41">
        <v>1038</v>
      </c>
      <c r="F206" s="332">
        <f t="shared" si="7"/>
        <v>6.3182402055234427E-2</v>
      </c>
      <c r="G206" s="377">
        <f>Muut[[#This Row],[Keskim. työttömyysaste 2023, %]]/$F$12</f>
        <v>0.64300037183648173</v>
      </c>
      <c r="H206" s="166">
        <v>0</v>
      </c>
      <c r="I206" s="383">
        <v>2</v>
      </c>
      <c r="J206" s="389">
        <v>85</v>
      </c>
      <c r="K206" s="269">
        <v>361.1</v>
      </c>
      <c r="L206" s="170">
        <f t="shared" ref="L206:L269" si="8">C206/K206</f>
        <v>7.3386873442259759</v>
      </c>
      <c r="M206" s="377">
        <v>2.5111356574283108</v>
      </c>
      <c r="N206" s="166">
        <v>0</v>
      </c>
      <c r="O206" s="397">
        <v>0</v>
      </c>
      <c r="P206" s="269">
        <v>651</v>
      </c>
      <c r="Q206" s="15">
        <v>114</v>
      </c>
      <c r="R206" s="158">
        <v>0.17511520737327188</v>
      </c>
      <c r="S206" s="401">
        <v>1.2529238399141565</v>
      </c>
      <c r="T206" s="153">
        <v>122</v>
      </c>
      <c r="U206" s="197">
        <v>117640.77602971537</v>
      </c>
      <c r="V206" s="159">
        <v>0</v>
      </c>
      <c r="W206" s="159">
        <v>0</v>
      </c>
      <c r="X206" s="159">
        <v>150544.35</v>
      </c>
      <c r="Y206" s="159">
        <v>275430.14788153814</v>
      </c>
      <c r="Z206" s="159">
        <v>0</v>
      </c>
      <c r="AA206" s="155">
        <v>0</v>
      </c>
      <c r="AB206" s="159">
        <v>94095.833301393068</v>
      </c>
      <c r="AC206" s="159">
        <v>103038.76000000001</v>
      </c>
      <c r="AD206" s="174">
        <f>SUM(Muut[[#This Row],[Työttömyysaste]:[Työttömät ja palveluissa olevat ]])</f>
        <v>740749.86721264664</v>
      </c>
      <c r="AF206" s="62"/>
    </row>
    <row r="207" spans="1:32" s="45" customFormat="1">
      <c r="A207" s="90">
        <v>620</v>
      </c>
      <c r="B207" s="151" t="s">
        <v>206</v>
      </c>
      <c r="C207" s="395">
        <v>2359</v>
      </c>
      <c r="D207" s="134">
        <v>154.16666666666666</v>
      </c>
      <c r="E207" s="41">
        <v>856</v>
      </c>
      <c r="F207" s="332">
        <f t="shared" si="7"/>
        <v>0.18010124610591899</v>
      </c>
      <c r="G207" s="377">
        <f>Muut[[#This Row],[Keskim. työttömyysaste 2023, %]]/$F$12</f>
        <v>1.8328706166169824</v>
      </c>
      <c r="H207" s="166">
        <v>0</v>
      </c>
      <c r="I207" s="383">
        <v>5</v>
      </c>
      <c r="J207" s="389">
        <v>60</v>
      </c>
      <c r="K207" s="269">
        <v>2461.13</v>
      </c>
      <c r="L207" s="170">
        <f t="shared" si="8"/>
        <v>0.95850280155863354</v>
      </c>
      <c r="M207" s="377">
        <v>19.226276061829971</v>
      </c>
      <c r="N207" s="166">
        <v>0</v>
      </c>
      <c r="O207" s="397">
        <v>0</v>
      </c>
      <c r="P207" s="269">
        <v>475</v>
      </c>
      <c r="Q207" s="15">
        <v>72</v>
      </c>
      <c r="R207" s="158">
        <v>0.15157894736842106</v>
      </c>
      <c r="S207" s="401">
        <v>1.0845253227046416</v>
      </c>
      <c r="T207" s="153">
        <v>215</v>
      </c>
      <c r="U207" s="197">
        <v>298511.13280874683</v>
      </c>
      <c r="V207" s="159">
        <v>0</v>
      </c>
      <c r="W207" s="159">
        <v>0</v>
      </c>
      <c r="X207" s="159">
        <v>106266.59999999999</v>
      </c>
      <c r="Y207" s="159">
        <v>1877234.5606637769</v>
      </c>
      <c r="Z207" s="159">
        <v>0</v>
      </c>
      <c r="AA207" s="155">
        <v>0</v>
      </c>
      <c r="AB207" s="159">
        <v>72504.920995615466</v>
      </c>
      <c r="AC207" s="159">
        <v>181584.7</v>
      </c>
      <c r="AD207" s="174">
        <f>SUM(Muut[[#This Row],[Työttömyysaste]:[Työttömät ja palveluissa olevat ]])</f>
        <v>2536101.9144681394</v>
      </c>
      <c r="AF207" s="62"/>
    </row>
    <row r="208" spans="1:32" s="45" customFormat="1">
      <c r="A208" s="90">
        <v>623</v>
      </c>
      <c r="B208" s="151" t="s">
        <v>207</v>
      </c>
      <c r="C208" s="395">
        <v>2108</v>
      </c>
      <c r="D208" s="134">
        <v>66.5</v>
      </c>
      <c r="E208" s="41">
        <v>843</v>
      </c>
      <c r="F208" s="332">
        <f t="shared" si="7"/>
        <v>7.8884934756820874E-2</v>
      </c>
      <c r="G208" s="377">
        <f>Muut[[#This Row],[Keskim. työttömyysaste 2023, %]]/$F$12</f>
        <v>0.8028033238842367</v>
      </c>
      <c r="H208" s="166">
        <v>0</v>
      </c>
      <c r="I208" s="383">
        <v>6</v>
      </c>
      <c r="J208" s="389">
        <v>62</v>
      </c>
      <c r="K208" s="269">
        <v>794.12</v>
      </c>
      <c r="L208" s="170">
        <f t="shared" si="8"/>
        <v>2.6545106533017679</v>
      </c>
      <c r="M208" s="377">
        <v>6.9423113619385246</v>
      </c>
      <c r="N208" s="166">
        <v>1</v>
      </c>
      <c r="O208" s="397">
        <v>0</v>
      </c>
      <c r="P208" s="269">
        <v>439</v>
      </c>
      <c r="Q208" s="15">
        <v>70</v>
      </c>
      <c r="R208" s="158">
        <v>0.15945330296127563</v>
      </c>
      <c r="S208" s="401">
        <v>1.1408651917213786</v>
      </c>
      <c r="T208" s="153">
        <v>90</v>
      </c>
      <c r="U208" s="197">
        <v>116837.04144187992</v>
      </c>
      <c r="V208" s="159">
        <v>0</v>
      </c>
      <c r="W208" s="159">
        <v>0</v>
      </c>
      <c r="X208" s="159">
        <v>109808.81999999999</v>
      </c>
      <c r="Y208" s="159">
        <v>605717.49940649967</v>
      </c>
      <c r="Z208" s="159">
        <v>850240.72</v>
      </c>
      <c r="AA208" s="155">
        <v>0</v>
      </c>
      <c r="AB208" s="159">
        <v>68156.107976373198</v>
      </c>
      <c r="AC208" s="159">
        <v>76012.2</v>
      </c>
      <c r="AD208" s="174">
        <f>SUM(Muut[[#This Row],[Työttömyysaste]:[Työttömät ja palveluissa olevat ]])</f>
        <v>1826772.3888247528</v>
      </c>
      <c r="AF208" s="62"/>
    </row>
    <row r="209" spans="1:32" s="45" customFormat="1">
      <c r="A209" s="90">
        <v>624</v>
      </c>
      <c r="B209" s="151" t="s">
        <v>208</v>
      </c>
      <c r="C209" s="395">
        <v>5065</v>
      </c>
      <c r="D209" s="134">
        <v>212.66666666666666</v>
      </c>
      <c r="E209" s="41">
        <v>2319</v>
      </c>
      <c r="F209" s="332">
        <f t="shared" si="7"/>
        <v>9.1706195199080062E-2</v>
      </c>
      <c r="G209" s="377">
        <f>Muut[[#This Row],[Keskim. työttömyysaste 2023, %]]/$F$12</f>
        <v>0.93328388435070986</v>
      </c>
      <c r="H209" s="166">
        <v>1</v>
      </c>
      <c r="I209" s="383">
        <v>343</v>
      </c>
      <c r="J209" s="389">
        <v>248</v>
      </c>
      <c r="K209" s="269">
        <v>324.63</v>
      </c>
      <c r="L209" s="170">
        <f t="shared" si="8"/>
        <v>15.602378091981642</v>
      </c>
      <c r="M209" s="377">
        <v>1.1811301687577</v>
      </c>
      <c r="N209" s="166">
        <v>3</v>
      </c>
      <c r="O209" s="397">
        <v>189</v>
      </c>
      <c r="P209" s="269">
        <v>1560</v>
      </c>
      <c r="Q209" s="15">
        <v>212</v>
      </c>
      <c r="R209" s="158">
        <v>0.13589743589743589</v>
      </c>
      <c r="S209" s="401">
        <v>0.97232638885645828</v>
      </c>
      <c r="T209" s="153">
        <v>275</v>
      </c>
      <c r="U209" s="197">
        <v>326357.8016372773</v>
      </c>
      <c r="V209" s="159">
        <v>103897.33200000001</v>
      </c>
      <c r="W209" s="159">
        <v>93476.829600000012</v>
      </c>
      <c r="X209" s="159">
        <v>439235.27999999997</v>
      </c>
      <c r="Y209" s="159">
        <v>247612.54197392333</v>
      </c>
      <c r="Z209" s="159">
        <v>0</v>
      </c>
      <c r="AA209" s="155">
        <v>55762.560000000005</v>
      </c>
      <c r="AB209" s="159">
        <v>139569.77174187262</v>
      </c>
      <c r="AC209" s="159">
        <v>232259.5</v>
      </c>
      <c r="AD209" s="174">
        <f>SUM(Muut[[#This Row],[Työttömyysaste]:[Työttömät ja palveluissa olevat ]])</f>
        <v>1638171.6169530733</v>
      </c>
      <c r="AF209" s="62"/>
    </row>
    <row r="210" spans="1:32" s="45" customFormat="1">
      <c r="A210" s="90">
        <v>625</v>
      </c>
      <c r="B210" s="151" t="s">
        <v>209</v>
      </c>
      <c r="C210" s="395">
        <v>2980</v>
      </c>
      <c r="D210" s="134">
        <v>122.83333333333333</v>
      </c>
      <c r="E210" s="41">
        <v>1275</v>
      </c>
      <c r="F210" s="332">
        <f t="shared" si="7"/>
        <v>9.6339869281045751E-2</v>
      </c>
      <c r="G210" s="377">
        <f>Muut[[#This Row],[Keskim. työttömyysaste 2023, %]]/$F$12</f>
        <v>0.98044027696567171</v>
      </c>
      <c r="H210" s="166">
        <v>0</v>
      </c>
      <c r="I210" s="383">
        <v>7</v>
      </c>
      <c r="J210" s="389">
        <v>129</v>
      </c>
      <c r="K210" s="269">
        <v>543.63</v>
      </c>
      <c r="L210" s="170">
        <f t="shared" si="8"/>
        <v>5.4816695178706105</v>
      </c>
      <c r="M210" s="377">
        <v>3.3618297142368343</v>
      </c>
      <c r="N210" s="166">
        <v>0</v>
      </c>
      <c r="O210" s="397">
        <v>0</v>
      </c>
      <c r="P210" s="269">
        <v>826</v>
      </c>
      <c r="Q210" s="15">
        <v>128</v>
      </c>
      <c r="R210" s="158">
        <v>0.15496368038740921</v>
      </c>
      <c r="S210" s="401">
        <v>1.1087425951782723</v>
      </c>
      <c r="T210" s="153">
        <v>170</v>
      </c>
      <c r="U210" s="197">
        <v>201714.99823069572</v>
      </c>
      <c r="V210" s="159">
        <v>0</v>
      </c>
      <c r="W210" s="159">
        <v>0</v>
      </c>
      <c r="X210" s="159">
        <v>228473.18999999997</v>
      </c>
      <c r="Y210" s="159">
        <v>414655.47297934245</v>
      </c>
      <c r="Z210" s="159">
        <v>0</v>
      </c>
      <c r="AA210" s="155">
        <v>0</v>
      </c>
      <c r="AB210" s="159">
        <v>93636.860139109674</v>
      </c>
      <c r="AC210" s="159">
        <v>143578.6</v>
      </c>
      <c r="AD210" s="174">
        <f>SUM(Muut[[#This Row],[Työttömyysaste]:[Työttömät ja palveluissa olevat ]])</f>
        <v>1082059.1213491478</v>
      </c>
      <c r="AF210" s="62"/>
    </row>
    <row r="211" spans="1:32" s="45" customFormat="1">
      <c r="A211" s="90">
        <v>626</v>
      </c>
      <c r="B211" s="151" t="s">
        <v>210</v>
      </c>
      <c r="C211" s="395">
        <v>4756</v>
      </c>
      <c r="D211" s="134">
        <v>226.33333333333334</v>
      </c>
      <c r="E211" s="41">
        <v>1843</v>
      </c>
      <c r="F211" s="332">
        <f t="shared" si="7"/>
        <v>0.12280701754385966</v>
      </c>
      <c r="G211" s="377">
        <f>Muut[[#This Row],[Keskim. työttömyysaste 2023, %]]/$F$12</f>
        <v>1.2497935402297535</v>
      </c>
      <c r="H211" s="166">
        <v>0</v>
      </c>
      <c r="I211" s="383">
        <v>8</v>
      </c>
      <c r="J211" s="389">
        <v>113</v>
      </c>
      <c r="K211" s="269">
        <v>1310.32</v>
      </c>
      <c r="L211" s="170">
        <f t="shared" si="8"/>
        <v>3.629647719641004</v>
      </c>
      <c r="M211" s="377">
        <v>5.0771978142899261</v>
      </c>
      <c r="N211" s="166">
        <v>0</v>
      </c>
      <c r="O211" s="397">
        <v>0</v>
      </c>
      <c r="P211" s="269">
        <v>1091</v>
      </c>
      <c r="Q211" s="15">
        <v>153</v>
      </c>
      <c r="R211" s="158">
        <v>0.14023831347387716</v>
      </c>
      <c r="S211" s="401">
        <v>1.0033847365765329</v>
      </c>
      <c r="T211" s="153">
        <v>318</v>
      </c>
      <c r="U211" s="197">
        <v>410375.00805905019</v>
      </c>
      <c r="V211" s="159">
        <v>0</v>
      </c>
      <c r="W211" s="159">
        <v>0</v>
      </c>
      <c r="X211" s="159">
        <v>200135.43</v>
      </c>
      <c r="Y211" s="159">
        <v>999450.65458913601</v>
      </c>
      <c r="Z211" s="159">
        <v>0</v>
      </c>
      <c r="AA211" s="155">
        <v>0</v>
      </c>
      <c r="AB211" s="159">
        <v>135241.25185485743</v>
      </c>
      <c r="AC211" s="159">
        <v>268576.44</v>
      </c>
      <c r="AD211" s="174">
        <f>SUM(Muut[[#This Row],[Työttömyysaste]:[Työttömät ja palveluissa olevat ]])</f>
        <v>2013778.7845030436</v>
      </c>
      <c r="AF211" s="62"/>
    </row>
    <row r="212" spans="1:32" s="45" customFormat="1">
      <c r="A212" s="90">
        <v>630</v>
      </c>
      <c r="B212" s="151" t="s">
        <v>211</v>
      </c>
      <c r="C212" s="395">
        <v>1646</v>
      </c>
      <c r="D212" s="134">
        <v>67.666666666666671</v>
      </c>
      <c r="E212" s="41">
        <v>692</v>
      </c>
      <c r="F212" s="332">
        <f t="shared" si="7"/>
        <v>9.7784200385356457E-2</v>
      </c>
      <c r="G212" s="377">
        <f>Muut[[#This Row],[Keskim. työttömyysaste 2023, %]]/$F$12</f>
        <v>0.99513907610779517</v>
      </c>
      <c r="H212" s="166">
        <v>0</v>
      </c>
      <c r="I212" s="383">
        <v>0</v>
      </c>
      <c r="J212" s="389">
        <v>121</v>
      </c>
      <c r="K212" s="269">
        <v>810.16</v>
      </c>
      <c r="L212" s="170">
        <f t="shared" si="8"/>
        <v>2.0316974424804979</v>
      </c>
      <c r="M212" s="377">
        <v>9.0704644714738887</v>
      </c>
      <c r="N212" s="166">
        <v>0</v>
      </c>
      <c r="O212" s="397">
        <v>0</v>
      </c>
      <c r="P212" s="269">
        <v>422</v>
      </c>
      <c r="Q212" s="15">
        <v>79</v>
      </c>
      <c r="R212" s="158">
        <v>0.1872037914691943</v>
      </c>
      <c r="S212" s="401">
        <v>1.3394159009508844</v>
      </c>
      <c r="T212" s="153">
        <v>87</v>
      </c>
      <c r="U212" s="197">
        <v>113087.44538663767</v>
      </c>
      <c r="V212" s="159">
        <v>0</v>
      </c>
      <c r="W212" s="159">
        <v>0</v>
      </c>
      <c r="X212" s="159">
        <v>214304.31</v>
      </c>
      <c r="Y212" s="159">
        <v>617952.05928470474</v>
      </c>
      <c r="Z212" s="159">
        <v>0</v>
      </c>
      <c r="AA212" s="155">
        <v>0</v>
      </c>
      <c r="AB212" s="159">
        <v>62480.590757832506</v>
      </c>
      <c r="AC212" s="159">
        <v>73478.460000000006</v>
      </c>
      <c r="AD212" s="174">
        <f>SUM(Muut[[#This Row],[Työttömyysaste]:[Työttömät ja palveluissa olevat ]])</f>
        <v>1081302.8654291749</v>
      </c>
      <c r="AF212" s="62"/>
    </row>
    <row r="213" spans="1:32" s="45" customFormat="1">
      <c r="A213" s="90">
        <v>631</v>
      </c>
      <c r="B213" s="151" t="s">
        <v>212</v>
      </c>
      <c r="C213" s="395">
        <v>1930</v>
      </c>
      <c r="D213" s="134">
        <v>69.333333333333329</v>
      </c>
      <c r="E213" s="41">
        <v>893</v>
      </c>
      <c r="F213" s="332">
        <f t="shared" si="7"/>
        <v>7.7640910787607306E-2</v>
      </c>
      <c r="G213" s="377">
        <f>Muut[[#This Row],[Keskim. työttömyysaste 2023, %]]/$F$12</f>
        <v>0.79014302847352191</v>
      </c>
      <c r="H213" s="166">
        <v>0</v>
      </c>
      <c r="I213" s="383">
        <v>10</v>
      </c>
      <c r="J213" s="389">
        <v>59</v>
      </c>
      <c r="K213" s="269">
        <v>143.66999999999999</v>
      </c>
      <c r="L213" s="170">
        <f t="shared" si="8"/>
        <v>13.4335630263799</v>
      </c>
      <c r="M213" s="377">
        <v>1.3718206727891347</v>
      </c>
      <c r="N213" s="166">
        <v>0</v>
      </c>
      <c r="O213" s="397">
        <v>0</v>
      </c>
      <c r="P213" s="269">
        <v>529</v>
      </c>
      <c r="Q213" s="15">
        <v>80</v>
      </c>
      <c r="R213" s="158">
        <v>0.15122873345935728</v>
      </c>
      <c r="S213" s="401">
        <v>1.0820195931205729</v>
      </c>
      <c r="T213" s="153">
        <v>99</v>
      </c>
      <c r="U213" s="197">
        <v>105284.34614361708</v>
      </c>
      <c r="V213" s="159">
        <v>0</v>
      </c>
      <c r="W213" s="159">
        <v>0</v>
      </c>
      <c r="X213" s="159">
        <v>104495.48999999999</v>
      </c>
      <c r="Y213" s="159">
        <v>109584.7392582126</v>
      </c>
      <c r="Z213" s="159">
        <v>0</v>
      </c>
      <c r="AA213" s="155">
        <v>0</v>
      </c>
      <c r="AB213" s="159">
        <v>59182.360069241484</v>
      </c>
      <c r="AC213" s="159">
        <v>83613.42</v>
      </c>
      <c r="AD213" s="174">
        <f>SUM(Muut[[#This Row],[Työttömyysaste]:[Työttömät ja palveluissa olevat ]])</f>
        <v>462160.35547107115</v>
      </c>
      <c r="AF213" s="62"/>
    </row>
    <row r="214" spans="1:32" s="45" customFormat="1">
      <c r="A214" s="90">
        <v>635</v>
      </c>
      <c r="B214" s="151" t="s">
        <v>213</v>
      </c>
      <c r="C214" s="395">
        <v>6337</v>
      </c>
      <c r="D214" s="134">
        <v>173.91666666666666</v>
      </c>
      <c r="E214" s="41">
        <v>2798</v>
      </c>
      <c r="F214" s="332">
        <f t="shared" si="7"/>
        <v>6.2157493447700732E-2</v>
      </c>
      <c r="G214" s="377">
        <f>Muut[[#This Row],[Keskim. työttömyysaste 2023, %]]/$F$12</f>
        <v>0.63256998941502107</v>
      </c>
      <c r="H214" s="166">
        <v>0</v>
      </c>
      <c r="I214" s="383">
        <v>24</v>
      </c>
      <c r="J214" s="389">
        <v>249</v>
      </c>
      <c r="K214" s="269">
        <v>560.67999999999995</v>
      </c>
      <c r="L214" s="170">
        <f t="shared" si="8"/>
        <v>11.302347149889421</v>
      </c>
      <c r="M214" s="377">
        <v>1.6304966768768927</v>
      </c>
      <c r="N214" s="166">
        <v>0</v>
      </c>
      <c r="O214" s="397">
        <v>0</v>
      </c>
      <c r="P214" s="269">
        <v>1755</v>
      </c>
      <c r="Q214" s="15">
        <v>235</v>
      </c>
      <c r="R214" s="158">
        <v>0.13390313390313391</v>
      </c>
      <c r="S214" s="401">
        <v>0.95805744813948734</v>
      </c>
      <c r="T214" s="153">
        <v>292</v>
      </c>
      <c r="U214" s="197">
        <v>276753.46942260314</v>
      </c>
      <c r="V214" s="159">
        <v>0</v>
      </c>
      <c r="W214" s="159">
        <v>0</v>
      </c>
      <c r="X214" s="159">
        <v>441006.38999999996</v>
      </c>
      <c r="Y214" s="159">
        <v>427660.41349825752</v>
      </c>
      <c r="Z214" s="159">
        <v>0</v>
      </c>
      <c r="AA214" s="155">
        <v>0</v>
      </c>
      <c r="AB214" s="159">
        <v>172058.09278469047</v>
      </c>
      <c r="AC214" s="159">
        <v>246617.36000000002</v>
      </c>
      <c r="AD214" s="174">
        <f>SUM(Muut[[#This Row],[Työttömyysaste]:[Työttömät ja palveluissa olevat ]])</f>
        <v>1564095.7257055512</v>
      </c>
      <c r="AF214" s="62"/>
    </row>
    <row r="215" spans="1:32" s="45" customFormat="1">
      <c r="A215" s="90">
        <v>636</v>
      </c>
      <c r="B215" s="151" t="s">
        <v>214</v>
      </c>
      <c r="C215" s="395">
        <v>8130</v>
      </c>
      <c r="D215" s="134">
        <v>298.5</v>
      </c>
      <c r="E215" s="41">
        <v>3709</v>
      </c>
      <c r="F215" s="332">
        <f t="shared" si="7"/>
        <v>8.0479913723375568E-2</v>
      </c>
      <c r="G215" s="377">
        <f>Muut[[#This Row],[Keskim. työttömyysaste 2023, %]]/$F$12</f>
        <v>0.81903524978774178</v>
      </c>
      <c r="H215" s="166">
        <v>0</v>
      </c>
      <c r="I215" s="383">
        <v>51</v>
      </c>
      <c r="J215" s="389">
        <v>422</v>
      </c>
      <c r="K215" s="269">
        <v>749.98</v>
      </c>
      <c r="L215" s="170">
        <f t="shared" si="8"/>
        <v>10.840289074375317</v>
      </c>
      <c r="M215" s="377">
        <v>1.6999952069881199</v>
      </c>
      <c r="N215" s="166">
        <v>0</v>
      </c>
      <c r="O215" s="397">
        <v>0</v>
      </c>
      <c r="P215" s="269">
        <v>2395</v>
      </c>
      <c r="Q215" s="15">
        <v>470</v>
      </c>
      <c r="R215" s="158">
        <v>0.19624217118997914</v>
      </c>
      <c r="S215" s="401">
        <v>1.4040841933067225</v>
      </c>
      <c r="T215" s="153">
        <v>398</v>
      </c>
      <c r="U215" s="197">
        <v>459720.55433666054</v>
      </c>
      <c r="V215" s="159">
        <v>0</v>
      </c>
      <c r="W215" s="159">
        <v>0</v>
      </c>
      <c r="X215" s="159">
        <v>747408.41999999993</v>
      </c>
      <c r="Y215" s="159">
        <v>572049.57714814728</v>
      </c>
      <c r="Z215" s="159">
        <v>0</v>
      </c>
      <c r="AA215" s="155">
        <v>0</v>
      </c>
      <c r="AB215" s="159">
        <v>323506.89529148076</v>
      </c>
      <c r="AC215" s="159">
        <v>336142.84</v>
      </c>
      <c r="AD215" s="174">
        <f>SUM(Muut[[#This Row],[Työttömyysaste]:[Työttömät ja palveluissa olevat ]])</f>
        <v>2438828.2867762884</v>
      </c>
      <c r="AF215" s="62"/>
    </row>
    <row r="216" spans="1:32" s="45" customFormat="1">
      <c r="A216" s="90">
        <v>638</v>
      </c>
      <c r="B216" s="151" t="s">
        <v>215</v>
      </c>
      <c r="C216" s="395">
        <v>51289</v>
      </c>
      <c r="D216" s="134">
        <v>2265.3333333333335</v>
      </c>
      <c r="E216" s="41">
        <v>25212</v>
      </c>
      <c r="F216" s="332">
        <f t="shared" si="7"/>
        <v>8.9851393516314992E-2</v>
      </c>
      <c r="G216" s="377">
        <f>Muut[[#This Row],[Keskim. työttömyysaste 2023, %]]/$F$12</f>
        <v>0.91440777117827521</v>
      </c>
      <c r="H216" s="166">
        <v>1</v>
      </c>
      <c r="I216" s="383">
        <v>14281</v>
      </c>
      <c r="J216" s="389">
        <v>4352</v>
      </c>
      <c r="K216" s="269">
        <v>654.91999999999996</v>
      </c>
      <c r="L216" s="170">
        <f t="shared" si="8"/>
        <v>78.313381787088503</v>
      </c>
      <c r="M216" s="377">
        <v>0.23531660934915735</v>
      </c>
      <c r="N216" s="166">
        <v>3</v>
      </c>
      <c r="O216" s="397">
        <v>1724</v>
      </c>
      <c r="P216" s="269">
        <v>16598</v>
      </c>
      <c r="Q216" s="15">
        <v>2231</v>
      </c>
      <c r="R216" s="158">
        <v>0.13441378479334859</v>
      </c>
      <c r="S216" s="401">
        <v>0.96171108098965763</v>
      </c>
      <c r="T216" s="153">
        <v>3076</v>
      </c>
      <c r="U216" s="197">
        <v>3237911.1145484555</v>
      </c>
      <c r="V216" s="159">
        <v>1052080.9992000002</v>
      </c>
      <c r="W216" s="159">
        <v>3891960.9432000006</v>
      </c>
      <c r="X216" s="159">
        <v>7707870.7199999997</v>
      </c>
      <c r="Y216" s="159">
        <v>499542.2665482607</v>
      </c>
      <c r="Z216" s="159">
        <v>0</v>
      </c>
      <c r="AA216" s="155">
        <v>508648.96000000002</v>
      </c>
      <c r="AB216" s="159">
        <v>1397876.1575957781</v>
      </c>
      <c r="AC216" s="159">
        <v>2597928.08</v>
      </c>
      <c r="AD216" s="174">
        <f>SUM(Muut[[#This Row],[Työttömyysaste]:[Työttömät ja palveluissa olevat ]])</f>
        <v>20893819.241092496</v>
      </c>
      <c r="AF216" s="62"/>
    </row>
    <row r="217" spans="1:32" s="45" customFormat="1">
      <c r="A217" s="90">
        <v>678</v>
      </c>
      <c r="B217" s="151" t="s">
        <v>216</v>
      </c>
      <c r="C217" s="395">
        <v>23797</v>
      </c>
      <c r="D217" s="134">
        <v>1163.9166666666667</v>
      </c>
      <c r="E217" s="41">
        <v>10112</v>
      </c>
      <c r="F217" s="332">
        <f t="shared" si="7"/>
        <v>0.11510251845991562</v>
      </c>
      <c r="G217" s="377">
        <f>Muut[[#This Row],[Keskim. työttömyysaste 2023, %]]/$F$12</f>
        <v>1.1713856985737965</v>
      </c>
      <c r="H217" s="166">
        <v>0</v>
      </c>
      <c r="I217" s="383">
        <v>17</v>
      </c>
      <c r="J217" s="389">
        <v>940</v>
      </c>
      <c r="K217" s="269">
        <v>1013.78</v>
      </c>
      <c r="L217" s="170">
        <f t="shared" si="8"/>
        <v>23.473534691944998</v>
      </c>
      <c r="M217" s="377">
        <v>0.78507304974088477</v>
      </c>
      <c r="N217" s="166">
        <v>0</v>
      </c>
      <c r="O217" s="397">
        <v>0</v>
      </c>
      <c r="P217" s="269">
        <v>6803</v>
      </c>
      <c r="Q217" s="15">
        <v>810</v>
      </c>
      <c r="R217" s="158">
        <v>0.11906511833014846</v>
      </c>
      <c r="S217" s="401">
        <v>0.85189360476303522</v>
      </c>
      <c r="T217" s="153">
        <v>1710</v>
      </c>
      <c r="U217" s="197">
        <v>1924522.1359770424</v>
      </c>
      <c r="V217" s="159">
        <v>0</v>
      </c>
      <c r="W217" s="159">
        <v>0</v>
      </c>
      <c r="X217" s="159">
        <v>1664843.4</v>
      </c>
      <c r="Y217" s="159">
        <v>773263.84746426402</v>
      </c>
      <c r="Z217" s="159">
        <v>0</v>
      </c>
      <c r="AA217" s="155">
        <v>0</v>
      </c>
      <c r="AB217" s="159">
        <v>574522.99326955213</v>
      </c>
      <c r="AC217" s="159">
        <v>1444231.8</v>
      </c>
      <c r="AD217" s="174">
        <f>SUM(Muut[[#This Row],[Työttömyysaste]:[Työttömät ja palveluissa olevat ]])</f>
        <v>6381384.1767108589</v>
      </c>
      <c r="AF217" s="62"/>
    </row>
    <row r="218" spans="1:32" s="45" customFormat="1">
      <c r="A218" s="90">
        <v>680</v>
      </c>
      <c r="B218" s="151" t="s">
        <v>217</v>
      </c>
      <c r="C218" s="395">
        <v>25331</v>
      </c>
      <c r="D218" s="134">
        <v>864.91666666666663</v>
      </c>
      <c r="E218" s="41">
        <v>11933</v>
      </c>
      <c r="F218" s="332">
        <f t="shared" si="7"/>
        <v>7.2481074890360056E-2</v>
      </c>
      <c r="G218" s="377">
        <f>Muut[[#This Row],[Keskim. työttömyysaste 2023, %]]/$F$12</f>
        <v>0.73763194480745953</v>
      </c>
      <c r="H218" s="166">
        <v>0</v>
      </c>
      <c r="I218" s="383">
        <v>364</v>
      </c>
      <c r="J218" s="389">
        <v>3051</v>
      </c>
      <c r="K218" s="269">
        <v>48.76</v>
      </c>
      <c r="L218" s="170">
        <f t="shared" si="8"/>
        <v>519.50369155045121</v>
      </c>
      <c r="M218" s="377">
        <v>3.5473163653186583E-2</v>
      </c>
      <c r="N218" s="166">
        <v>0</v>
      </c>
      <c r="O218" s="397">
        <v>0</v>
      </c>
      <c r="P218" s="269">
        <v>8305</v>
      </c>
      <c r="Q218" s="15">
        <v>1226</v>
      </c>
      <c r="R218" s="158">
        <v>0.14762191450933174</v>
      </c>
      <c r="S218" s="401">
        <v>1.0562133281106563</v>
      </c>
      <c r="T218" s="153">
        <v>1451</v>
      </c>
      <c r="U218" s="197">
        <v>1290009.2789720821</v>
      </c>
      <c r="V218" s="159">
        <v>0</v>
      </c>
      <c r="W218" s="159">
        <v>0</v>
      </c>
      <c r="X218" s="159">
        <v>5403656.6099999994</v>
      </c>
      <c r="Y218" s="159">
        <v>37191.841624768203</v>
      </c>
      <c r="Z218" s="159">
        <v>0</v>
      </c>
      <c r="AA218" s="155">
        <v>0</v>
      </c>
      <c r="AB218" s="159">
        <v>758234.99433927517</v>
      </c>
      <c r="AC218" s="159">
        <v>1225485.58</v>
      </c>
      <c r="AD218" s="174">
        <f>SUM(Muut[[#This Row],[Työttömyysaste]:[Työttömät ja palveluissa olevat ]])</f>
        <v>8714578.3049361259</v>
      </c>
      <c r="AF218" s="62"/>
    </row>
    <row r="219" spans="1:32" s="45" customFormat="1">
      <c r="A219" s="90">
        <v>681</v>
      </c>
      <c r="B219" s="151" t="s">
        <v>218</v>
      </c>
      <c r="C219" s="395">
        <v>3297</v>
      </c>
      <c r="D219" s="134">
        <v>108.75</v>
      </c>
      <c r="E219" s="41">
        <v>1351</v>
      </c>
      <c r="F219" s="332">
        <f t="shared" si="7"/>
        <v>8.0495928941524797E-2</v>
      </c>
      <c r="G219" s="377">
        <f>Muut[[#This Row],[Keskim. työttömyysaste 2023, %]]/$F$12</f>
        <v>0.81919823490527488</v>
      </c>
      <c r="H219" s="166">
        <v>0</v>
      </c>
      <c r="I219" s="383">
        <v>5</v>
      </c>
      <c r="J219" s="389">
        <v>188</v>
      </c>
      <c r="K219" s="269">
        <v>559.65</v>
      </c>
      <c r="L219" s="170">
        <f t="shared" si="8"/>
        <v>5.8911819887429644</v>
      </c>
      <c r="M219" s="377">
        <v>3.1281395658829245</v>
      </c>
      <c r="N219" s="166">
        <v>0</v>
      </c>
      <c r="O219" s="397">
        <v>0</v>
      </c>
      <c r="P219" s="269">
        <v>804</v>
      </c>
      <c r="Q219" s="15">
        <v>156</v>
      </c>
      <c r="R219" s="158">
        <v>0.19402985074626866</v>
      </c>
      <c r="S219" s="401">
        <v>1.3882553622929441</v>
      </c>
      <c r="T219" s="153">
        <v>162</v>
      </c>
      <c r="U219" s="197">
        <v>186469.89991652503</v>
      </c>
      <c r="V219" s="159">
        <v>0</v>
      </c>
      <c r="W219" s="159">
        <v>0</v>
      </c>
      <c r="X219" s="159">
        <v>332968.68</v>
      </c>
      <c r="Y219" s="159">
        <v>426874.7777953553</v>
      </c>
      <c r="Z219" s="159">
        <v>0</v>
      </c>
      <c r="AA219" s="155">
        <v>0</v>
      </c>
      <c r="AB219" s="159">
        <v>129714.38852145858</v>
      </c>
      <c r="AC219" s="159">
        <v>136821.96000000002</v>
      </c>
      <c r="AD219" s="174">
        <f>SUM(Muut[[#This Row],[Työttömyysaste]:[Työttömät ja palveluissa olevat ]])</f>
        <v>1212849.7062333389</v>
      </c>
      <c r="AF219" s="62"/>
    </row>
    <row r="220" spans="1:32" s="45" customFormat="1">
      <c r="A220" s="90">
        <v>683</v>
      </c>
      <c r="B220" s="151" t="s">
        <v>219</v>
      </c>
      <c r="C220" s="395">
        <v>3599</v>
      </c>
      <c r="D220" s="134">
        <v>150.25</v>
      </c>
      <c r="E220" s="41">
        <v>1375</v>
      </c>
      <c r="F220" s="332">
        <f t="shared" si="7"/>
        <v>0.10927272727272727</v>
      </c>
      <c r="G220" s="377">
        <f>Muut[[#This Row],[Keskim. työttömyysaste 2023, %]]/$F$12</f>
        <v>1.1120565534454718</v>
      </c>
      <c r="H220" s="166">
        <v>0</v>
      </c>
      <c r="I220" s="383">
        <v>7</v>
      </c>
      <c r="J220" s="389">
        <v>62</v>
      </c>
      <c r="K220" s="269">
        <v>3454.19</v>
      </c>
      <c r="L220" s="170">
        <f t="shared" si="8"/>
        <v>1.0419229978663593</v>
      </c>
      <c r="M220" s="377">
        <v>17.686949521741351</v>
      </c>
      <c r="N220" s="166">
        <v>0</v>
      </c>
      <c r="O220" s="397">
        <v>0</v>
      </c>
      <c r="P220" s="269">
        <v>805</v>
      </c>
      <c r="Q220" s="15">
        <v>130</v>
      </c>
      <c r="R220" s="158">
        <v>0.16149068322981366</v>
      </c>
      <c r="S220" s="401">
        <v>1.1554423512251832</v>
      </c>
      <c r="T220" s="153">
        <v>198</v>
      </c>
      <c r="U220" s="197">
        <v>276318.20763510151</v>
      </c>
      <c r="V220" s="159">
        <v>0</v>
      </c>
      <c r="W220" s="159">
        <v>0</v>
      </c>
      <c r="X220" s="159">
        <v>109808.81999999999</v>
      </c>
      <c r="Y220" s="159">
        <v>2634694.1636968437</v>
      </c>
      <c r="Z220" s="159">
        <v>0</v>
      </c>
      <c r="AA220" s="155">
        <v>0</v>
      </c>
      <c r="AB220" s="159">
        <v>117850.10520516438</v>
      </c>
      <c r="AC220" s="159">
        <v>167226.84</v>
      </c>
      <c r="AD220" s="174">
        <f>SUM(Muut[[#This Row],[Työttömyysaste]:[Työttömät ja palveluissa olevat ]])</f>
        <v>3305898.1365371095</v>
      </c>
      <c r="AF220" s="62"/>
    </row>
    <row r="221" spans="1:32" s="45" customFormat="1">
      <c r="A221" s="90">
        <v>684</v>
      </c>
      <c r="B221" s="151" t="s">
        <v>220</v>
      </c>
      <c r="C221" s="395">
        <v>38832</v>
      </c>
      <c r="D221" s="134">
        <v>1543.5</v>
      </c>
      <c r="E221" s="41">
        <v>18100</v>
      </c>
      <c r="F221" s="332">
        <f t="shared" si="7"/>
        <v>8.5276243093922649E-2</v>
      </c>
      <c r="G221" s="377">
        <f>Muut[[#This Row],[Keskim. työttömyysaste 2023, %]]/$F$12</f>
        <v>0.86784696742417999</v>
      </c>
      <c r="H221" s="166">
        <v>0</v>
      </c>
      <c r="I221" s="383">
        <v>117</v>
      </c>
      <c r="J221" s="389">
        <v>3335</v>
      </c>
      <c r="K221" s="269">
        <v>496.3</v>
      </c>
      <c r="L221" s="170">
        <f t="shared" si="8"/>
        <v>78.242998186580692</v>
      </c>
      <c r="M221" s="377">
        <v>0.23552828874040191</v>
      </c>
      <c r="N221" s="166">
        <v>0</v>
      </c>
      <c r="O221" s="397">
        <v>0</v>
      </c>
      <c r="P221" s="269">
        <v>11771</v>
      </c>
      <c r="Q221" s="15">
        <v>2045</v>
      </c>
      <c r="R221" s="158">
        <v>0.17373205335145697</v>
      </c>
      <c r="S221" s="401">
        <v>1.2430275740546697</v>
      </c>
      <c r="T221" s="153">
        <v>2276</v>
      </c>
      <c r="U221" s="197">
        <v>2326664.116629648</v>
      </c>
      <c r="V221" s="159">
        <v>0</v>
      </c>
      <c r="W221" s="159">
        <v>0</v>
      </c>
      <c r="X221" s="159">
        <v>5906651.8499999996</v>
      </c>
      <c r="Y221" s="159">
        <v>378554.36830132204</v>
      </c>
      <c r="Z221" s="159">
        <v>0</v>
      </c>
      <c r="AA221" s="155">
        <v>0</v>
      </c>
      <c r="AB221" s="159">
        <v>1367950.453056281</v>
      </c>
      <c r="AC221" s="159">
        <v>1922264.08</v>
      </c>
      <c r="AD221" s="174">
        <f>SUM(Muut[[#This Row],[Työttömyysaste]:[Työttömät ja palveluissa olevat ]])</f>
        <v>11902084.867987251</v>
      </c>
      <c r="AF221" s="62"/>
    </row>
    <row r="222" spans="1:32" s="45" customFormat="1">
      <c r="A222" s="90">
        <v>686</v>
      </c>
      <c r="B222" s="151" t="s">
        <v>221</v>
      </c>
      <c r="C222" s="395">
        <v>2933</v>
      </c>
      <c r="D222" s="134">
        <v>110.08333333333333</v>
      </c>
      <c r="E222" s="41">
        <v>1144</v>
      </c>
      <c r="F222" s="332">
        <f t="shared" si="7"/>
        <v>9.6226689976689969E-2</v>
      </c>
      <c r="G222" s="377">
        <f>Muut[[#This Row],[Keskim. työttömyysaste 2023, %]]/$F$12</f>
        <v>0.97928846360597477</v>
      </c>
      <c r="H222" s="166">
        <v>0</v>
      </c>
      <c r="I222" s="383">
        <v>3</v>
      </c>
      <c r="J222" s="389">
        <v>104</v>
      </c>
      <c r="K222" s="269">
        <v>538.95000000000005</v>
      </c>
      <c r="L222" s="170">
        <f t="shared" si="8"/>
        <v>5.4420632711754333</v>
      </c>
      <c r="M222" s="377">
        <v>3.3862964376787472</v>
      </c>
      <c r="N222" s="166">
        <v>0</v>
      </c>
      <c r="O222" s="397">
        <v>0</v>
      </c>
      <c r="P222" s="269">
        <v>726</v>
      </c>
      <c r="Q222" s="15">
        <v>89</v>
      </c>
      <c r="R222" s="158">
        <v>0.12258953168044077</v>
      </c>
      <c r="S222" s="401">
        <v>0.87711026969197126</v>
      </c>
      <c r="T222" s="153">
        <v>151</v>
      </c>
      <c r="U222" s="197">
        <v>198300.35152173662</v>
      </c>
      <c r="V222" s="159">
        <v>0</v>
      </c>
      <c r="W222" s="159">
        <v>0</v>
      </c>
      <c r="X222" s="159">
        <v>184195.44</v>
      </c>
      <c r="Y222" s="159">
        <v>411085.78842635005</v>
      </c>
      <c r="Z222" s="159">
        <v>0</v>
      </c>
      <c r="AA222" s="155">
        <v>0</v>
      </c>
      <c r="AB222" s="159">
        <v>72906.475691325672</v>
      </c>
      <c r="AC222" s="159">
        <v>127531.58</v>
      </c>
      <c r="AD222" s="174">
        <f>SUM(Muut[[#This Row],[Työttömyysaste]:[Työttömät ja palveluissa olevat ]])</f>
        <v>994019.63563941245</v>
      </c>
      <c r="AF222" s="62"/>
    </row>
    <row r="223" spans="1:32" s="45" customFormat="1">
      <c r="A223" s="90">
        <v>687</v>
      </c>
      <c r="B223" s="151" t="s">
        <v>222</v>
      </c>
      <c r="C223" s="395">
        <v>1424</v>
      </c>
      <c r="D223" s="134">
        <v>61.833333333333336</v>
      </c>
      <c r="E223" s="41">
        <v>513</v>
      </c>
      <c r="F223" s="332">
        <f t="shared" si="7"/>
        <v>0.12053281351526966</v>
      </c>
      <c r="G223" s="377">
        <f>Muut[[#This Row],[Keskim. työttömyysaste 2023, %]]/$F$12</f>
        <v>1.2266492154106841</v>
      </c>
      <c r="H223" s="166">
        <v>0</v>
      </c>
      <c r="I223" s="383">
        <v>0</v>
      </c>
      <c r="J223" s="389">
        <v>22</v>
      </c>
      <c r="K223" s="269">
        <v>1150.81</v>
      </c>
      <c r="L223" s="170">
        <f t="shared" si="8"/>
        <v>1.2373893170897021</v>
      </c>
      <c r="M223" s="377">
        <v>14.893000298521073</v>
      </c>
      <c r="N223" s="166">
        <v>0</v>
      </c>
      <c r="O223" s="397">
        <v>0</v>
      </c>
      <c r="P223" s="269">
        <v>294</v>
      </c>
      <c r="Q223" s="15">
        <v>48</v>
      </c>
      <c r="R223" s="158">
        <v>0.16326530612244897</v>
      </c>
      <c r="S223" s="401">
        <v>1.1681395199199653</v>
      </c>
      <c r="T223" s="153">
        <v>92</v>
      </c>
      <c r="U223" s="197">
        <v>120595.51524870197</v>
      </c>
      <c r="V223" s="159">
        <v>0</v>
      </c>
      <c r="W223" s="159">
        <v>0</v>
      </c>
      <c r="X223" s="159">
        <v>38964.42</v>
      </c>
      <c r="Y223" s="159">
        <v>877783.90607464104</v>
      </c>
      <c r="Z223" s="159">
        <v>0</v>
      </c>
      <c r="AA223" s="155">
        <v>0</v>
      </c>
      <c r="AB223" s="159">
        <v>47141.62536821331</v>
      </c>
      <c r="AC223" s="159">
        <v>77701.36</v>
      </c>
      <c r="AD223" s="174">
        <f>SUM(Muut[[#This Row],[Työttömyysaste]:[Työttömät ja palveluissa olevat ]])</f>
        <v>1162186.8266915565</v>
      </c>
      <c r="AF223" s="62"/>
    </row>
    <row r="224" spans="1:32" s="45" customFormat="1">
      <c r="A224" s="90">
        <v>689</v>
      </c>
      <c r="B224" s="151" t="s">
        <v>223</v>
      </c>
      <c r="C224" s="395">
        <v>3032</v>
      </c>
      <c r="D224" s="134">
        <v>163.91666666666666</v>
      </c>
      <c r="E224" s="41">
        <v>1144</v>
      </c>
      <c r="F224" s="332">
        <f t="shared" si="7"/>
        <v>0.14328379953379952</v>
      </c>
      <c r="G224" s="377">
        <f>Muut[[#This Row],[Keskim. työttömyysaste 2023, %]]/$F$12</f>
        <v>1.458183503340615</v>
      </c>
      <c r="H224" s="166">
        <v>0</v>
      </c>
      <c r="I224" s="383">
        <v>6</v>
      </c>
      <c r="J224" s="389">
        <v>135</v>
      </c>
      <c r="K224" s="269">
        <v>351.48</v>
      </c>
      <c r="L224" s="170">
        <f t="shared" si="8"/>
        <v>8.6263798793672475</v>
      </c>
      <c r="M224" s="377">
        <v>2.1362888867068377</v>
      </c>
      <c r="N224" s="166">
        <v>0</v>
      </c>
      <c r="O224" s="397">
        <v>0</v>
      </c>
      <c r="P224" s="269">
        <v>666</v>
      </c>
      <c r="Q224" s="15">
        <v>112</v>
      </c>
      <c r="R224" s="158">
        <v>0.16816816816816818</v>
      </c>
      <c r="S224" s="401">
        <v>1.2032187847824269</v>
      </c>
      <c r="T224" s="153">
        <v>246</v>
      </c>
      <c r="U224" s="197">
        <v>305240.50286216859</v>
      </c>
      <c r="V224" s="159">
        <v>0</v>
      </c>
      <c r="W224" s="159">
        <v>0</v>
      </c>
      <c r="X224" s="159">
        <v>239099.84999999998</v>
      </c>
      <c r="Y224" s="159">
        <v>268092.46296705352</v>
      </c>
      <c r="Z224" s="159">
        <v>0</v>
      </c>
      <c r="AA224" s="155">
        <v>0</v>
      </c>
      <c r="AB224" s="159">
        <v>103388.83613374543</v>
      </c>
      <c r="AC224" s="159">
        <v>207766.68000000002</v>
      </c>
      <c r="AD224" s="174">
        <f>SUM(Muut[[#This Row],[Työttömyysaste]:[Työttömät ja palveluissa olevat ]])</f>
        <v>1123588.3319629675</v>
      </c>
      <c r="AF224" s="62"/>
    </row>
    <row r="225" spans="1:32" s="45" customFormat="1">
      <c r="A225" s="90">
        <v>691</v>
      </c>
      <c r="B225" s="151" t="s">
        <v>224</v>
      </c>
      <c r="C225" s="395">
        <v>2598</v>
      </c>
      <c r="D225" s="134">
        <v>71.333333333333329</v>
      </c>
      <c r="E225" s="41">
        <v>1057</v>
      </c>
      <c r="F225" s="332">
        <f t="shared" si="7"/>
        <v>6.7486597287921793E-2</v>
      </c>
      <c r="G225" s="377">
        <f>Muut[[#This Row],[Keskim. työttömyysaste 2023, %]]/$F$12</f>
        <v>0.68680369436061339</v>
      </c>
      <c r="H225" s="166">
        <v>0</v>
      </c>
      <c r="I225" s="383">
        <v>0</v>
      </c>
      <c r="J225" s="389">
        <v>13</v>
      </c>
      <c r="K225" s="269">
        <v>474.4</v>
      </c>
      <c r="L225" s="170">
        <f t="shared" si="8"/>
        <v>5.4763912310286678</v>
      </c>
      <c r="M225" s="377">
        <v>3.3650699322557678</v>
      </c>
      <c r="N225" s="166">
        <v>0</v>
      </c>
      <c r="O225" s="397">
        <v>0</v>
      </c>
      <c r="P225" s="269">
        <v>631</v>
      </c>
      <c r="Q225" s="15">
        <v>104</v>
      </c>
      <c r="R225" s="158">
        <v>0.16481774960380349</v>
      </c>
      <c r="S225" s="401">
        <v>1.1792470272409159</v>
      </c>
      <c r="T225" s="153">
        <v>106</v>
      </c>
      <c r="U225" s="197">
        <v>123189.17649839024</v>
      </c>
      <c r="V225" s="159">
        <v>0</v>
      </c>
      <c r="W225" s="159">
        <v>0</v>
      </c>
      <c r="X225" s="159">
        <v>23024.43</v>
      </c>
      <c r="Y225" s="159">
        <v>361850.07520078012</v>
      </c>
      <c r="Z225" s="159">
        <v>0</v>
      </c>
      <c r="AA225" s="155">
        <v>0</v>
      </c>
      <c r="AB225" s="159">
        <v>86824.798233715628</v>
      </c>
      <c r="AC225" s="159">
        <v>89525.48000000001</v>
      </c>
      <c r="AD225" s="174">
        <f>SUM(Muut[[#This Row],[Työttömyysaste]:[Työttömät ja palveluissa olevat ]])</f>
        <v>684413.95993288595</v>
      </c>
      <c r="AF225" s="62"/>
    </row>
    <row r="226" spans="1:32" s="45" customFormat="1">
      <c r="A226" s="90">
        <v>694</v>
      </c>
      <c r="B226" s="151" t="s">
        <v>225</v>
      </c>
      <c r="C226" s="395">
        <v>28483</v>
      </c>
      <c r="D226" s="134">
        <v>1284.3333333333333</v>
      </c>
      <c r="E226" s="41">
        <v>13483</v>
      </c>
      <c r="F226" s="332">
        <f t="shared" si="7"/>
        <v>9.5255754159558947E-2</v>
      </c>
      <c r="G226" s="377">
        <f>Muut[[#This Row],[Keskim. työttömyysaste 2023, %]]/$F$12</f>
        <v>0.96940735634926056</v>
      </c>
      <c r="H226" s="166">
        <v>0</v>
      </c>
      <c r="I226" s="383">
        <v>120</v>
      </c>
      <c r="J226" s="389">
        <v>1941</v>
      </c>
      <c r="K226" s="269">
        <v>121.01</v>
      </c>
      <c r="L226" s="170">
        <f t="shared" si="8"/>
        <v>235.37724155028508</v>
      </c>
      <c r="M226" s="377">
        <v>7.8293208584767696E-2</v>
      </c>
      <c r="N226" s="166">
        <v>0</v>
      </c>
      <c r="O226" s="397">
        <v>0</v>
      </c>
      <c r="P226" s="269">
        <v>8809</v>
      </c>
      <c r="Q226" s="15">
        <v>1257</v>
      </c>
      <c r="R226" s="158">
        <v>0.14269497105233284</v>
      </c>
      <c r="S226" s="401">
        <v>1.0209617642529007</v>
      </c>
      <c r="T226" s="153">
        <v>1970</v>
      </c>
      <c r="U226" s="197">
        <v>1906306.9166210592</v>
      </c>
      <c r="V226" s="159">
        <v>0</v>
      </c>
      <c r="W226" s="159">
        <v>0</v>
      </c>
      <c r="X226" s="159">
        <v>3437724.51</v>
      </c>
      <c r="Y226" s="159">
        <v>92300.753794364238</v>
      </c>
      <c r="Z226" s="159">
        <v>0</v>
      </c>
      <c r="AA226" s="155">
        <v>0</v>
      </c>
      <c r="AB226" s="159">
        <v>824128.72841064364</v>
      </c>
      <c r="AC226" s="159">
        <v>1663822.6</v>
      </c>
      <c r="AD226" s="174">
        <f>SUM(Muut[[#This Row],[Työttömyysaste]:[Työttömät ja palveluissa olevat ]])</f>
        <v>7924283.5088260677</v>
      </c>
      <c r="AF226" s="62"/>
    </row>
    <row r="227" spans="1:32" s="45" customFormat="1">
      <c r="A227" s="90">
        <v>697</v>
      </c>
      <c r="B227" s="151" t="s">
        <v>226</v>
      </c>
      <c r="C227" s="395">
        <v>1164</v>
      </c>
      <c r="D227" s="134">
        <v>44.5</v>
      </c>
      <c r="E227" s="41">
        <v>487</v>
      </c>
      <c r="F227" s="332">
        <f t="shared" si="7"/>
        <v>9.1375770020533875E-2</v>
      </c>
      <c r="G227" s="377">
        <f>Muut[[#This Row],[Keskim. työttömyysaste 2023, %]]/$F$12</f>
        <v>0.92992118357077436</v>
      </c>
      <c r="H227" s="166">
        <v>0</v>
      </c>
      <c r="I227" s="383">
        <v>0</v>
      </c>
      <c r="J227" s="389">
        <v>23</v>
      </c>
      <c r="K227" s="269">
        <v>835.83</v>
      </c>
      <c r="L227" s="170">
        <f t="shared" si="8"/>
        <v>1.3926276874484045</v>
      </c>
      <c r="M227" s="377">
        <v>13.232854434029393</v>
      </c>
      <c r="N227" s="166">
        <v>0</v>
      </c>
      <c r="O227" s="397">
        <v>0</v>
      </c>
      <c r="P227" s="269">
        <v>248</v>
      </c>
      <c r="Q227" s="15">
        <v>28</v>
      </c>
      <c r="R227" s="158">
        <v>0.11290322580645161</v>
      </c>
      <c r="S227" s="401">
        <v>0.80780615994465343</v>
      </c>
      <c r="T227" s="153">
        <v>64</v>
      </c>
      <c r="U227" s="197">
        <v>74730.846909977379</v>
      </c>
      <c r="V227" s="159">
        <v>0</v>
      </c>
      <c r="W227" s="159">
        <v>0</v>
      </c>
      <c r="X227" s="159">
        <v>40735.53</v>
      </c>
      <c r="Y227" s="159">
        <v>637531.93160849076</v>
      </c>
      <c r="Z227" s="159">
        <v>0</v>
      </c>
      <c r="AA227" s="155">
        <v>0</v>
      </c>
      <c r="AB227" s="159">
        <v>26647.715730775843</v>
      </c>
      <c r="AC227" s="159">
        <v>54053.120000000003</v>
      </c>
      <c r="AD227" s="174">
        <f>SUM(Muut[[#This Row],[Työttömyysaste]:[Työttömät ja palveluissa olevat ]])</f>
        <v>833699.14424924401</v>
      </c>
      <c r="AF227" s="62"/>
    </row>
    <row r="228" spans="1:32" s="45" customFormat="1">
      <c r="A228" s="90">
        <v>698</v>
      </c>
      <c r="B228" s="151" t="s">
        <v>227</v>
      </c>
      <c r="C228" s="395">
        <v>65286</v>
      </c>
      <c r="D228" s="134">
        <v>2959</v>
      </c>
      <c r="E228" s="41">
        <v>31149</v>
      </c>
      <c r="F228" s="332">
        <f t="shared" si="7"/>
        <v>9.4995023917300719E-2</v>
      </c>
      <c r="G228" s="377">
        <f>Muut[[#This Row],[Keskim. työttömyysaste 2023, %]]/$F$12</f>
        <v>0.9667539332873375</v>
      </c>
      <c r="H228" s="166">
        <v>0</v>
      </c>
      <c r="I228" s="383">
        <v>143</v>
      </c>
      <c r="J228" s="389">
        <v>3072</v>
      </c>
      <c r="K228" s="269">
        <v>7581.51</v>
      </c>
      <c r="L228" s="170">
        <f t="shared" si="8"/>
        <v>8.6112133334916123</v>
      </c>
      <c r="M228" s="377">
        <v>2.1400514370175858</v>
      </c>
      <c r="N228" s="166">
        <v>0</v>
      </c>
      <c r="O228" s="397">
        <v>0</v>
      </c>
      <c r="P228" s="269">
        <v>20307</v>
      </c>
      <c r="Q228" s="15">
        <v>1885</v>
      </c>
      <c r="R228" s="158">
        <v>9.2825134190180722E-2</v>
      </c>
      <c r="S228" s="401">
        <v>0.66415033459772244</v>
      </c>
      <c r="T228" s="153">
        <v>4407</v>
      </c>
      <c r="U228" s="197">
        <v>4357493.9328047456</v>
      </c>
      <c r="V228" s="159">
        <v>0</v>
      </c>
      <c r="W228" s="159">
        <v>0</v>
      </c>
      <c r="X228" s="159">
        <v>5440849.9199999999</v>
      </c>
      <c r="Y228" s="159">
        <v>5782820.3280680152</v>
      </c>
      <c r="Z228" s="159">
        <v>0</v>
      </c>
      <c r="AA228" s="155">
        <v>0</v>
      </c>
      <c r="AB228" s="159">
        <v>1228814.4292204594</v>
      </c>
      <c r="AC228" s="159">
        <v>3722064.06</v>
      </c>
      <c r="AD228" s="174">
        <f>SUM(Muut[[#This Row],[Työttömyysaste]:[Työttömät ja palveluissa olevat ]])</f>
        <v>20532042.67009322</v>
      </c>
      <c r="AF228" s="62"/>
    </row>
    <row r="229" spans="1:32" s="45" customFormat="1">
      <c r="A229" s="90">
        <v>700</v>
      </c>
      <c r="B229" s="151" t="s">
        <v>228</v>
      </c>
      <c r="C229" s="395">
        <v>4758</v>
      </c>
      <c r="D229" s="134">
        <v>195.16666666666666</v>
      </c>
      <c r="E229" s="41">
        <v>1994</v>
      </c>
      <c r="F229" s="332">
        <f t="shared" si="7"/>
        <v>9.7876964226011359E-2</v>
      </c>
      <c r="G229" s="377">
        <f>Muut[[#This Row],[Keskim. työttömyysaste 2023, %]]/$F$12</f>
        <v>0.99608312353387962</v>
      </c>
      <c r="H229" s="166">
        <v>0</v>
      </c>
      <c r="I229" s="383">
        <v>11</v>
      </c>
      <c r="J229" s="389">
        <v>173</v>
      </c>
      <c r="K229" s="269">
        <v>942.16</v>
      </c>
      <c r="L229" s="170">
        <f t="shared" si="8"/>
        <v>5.0500976479578839</v>
      </c>
      <c r="M229" s="377">
        <v>3.6491253740916592</v>
      </c>
      <c r="N229" s="166">
        <v>3</v>
      </c>
      <c r="O229" s="397">
        <v>294</v>
      </c>
      <c r="P229" s="269">
        <v>1211</v>
      </c>
      <c r="Q229" s="15">
        <v>158</v>
      </c>
      <c r="R229" s="158">
        <v>0.13047068538398018</v>
      </c>
      <c r="S229" s="401">
        <v>0.93349877820193772</v>
      </c>
      <c r="T229" s="153">
        <v>275</v>
      </c>
      <c r="U229" s="197">
        <v>327205.65616249072</v>
      </c>
      <c r="V229" s="159">
        <v>0</v>
      </c>
      <c r="W229" s="159">
        <v>0</v>
      </c>
      <c r="X229" s="159">
        <v>306402.02999999997</v>
      </c>
      <c r="Y229" s="159">
        <v>718635.46975372464</v>
      </c>
      <c r="Z229" s="159">
        <v>0</v>
      </c>
      <c r="AA229" s="155">
        <v>86741.760000000009</v>
      </c>
      <c r="AB229" s="159">
        <v>125874.58087064778</v>
      </c>
      <c r="AC229" s="159">
        <v>232259.5</v>
      </c>
      <c r="AD229" s="174">
        <f>SUM(Muut[[#This Row],[Työttömyysaste]:[Työttömät ja palveluissa olevat ]])</f>
        <v>1797118.9967868631</v>
      </c>
      <c r="AF229" s="62"/>
    </row>
    <row r="230" spans="1:32" s="45" customFormat="1">
      <c r="A230" s="90">
        <v>702</v>
      </c>
      <c r="B230" s="151" t="s">
        <v>229</v>
      </c>
      <c r="C230" s="395">
        <v>4124</v>
      </c>
      <c r="D230" s="134">
        <v>149.83333333333334</v>
      </c>
      <c r="E230" s="41">
        <v>1586</v>
      </c>
      <c r="F230" s="332">
        <f t="shared" si="7"/>
        <v>9.4472467423287104E-2</v>
      </c>
      <c r="G230" s="377">
        <f>Muut[[#This Row],[Keskim. työttömyysaste 2023, %]]/$F$12</f>
        <v>0.961435933195119</v>
      </c>
      <c r="H230" s="166">
        <v>0</v>
      </c>
      <c r="I230" s="383">
        <v>12</v>
      </c>
      <c r="J230" s="389">
        <v>121</v>
      </c>
      <c r="K230" s="269">
        <v>776.93</v>
      </c>
      <c r="L230" s="170">
        <f t="shared" si="8"/>
        <v>5.3080715122340498</v>
      </c>
      <c r="M230" s="377">
        <v>3.4717767886754785</v>
      </c>
      <c r="N230" s="166">
        <v>0</v>
      </c>
      <c r="O230" s="397">
        <v>0</v>
      </c>
      <c r="P230" s="269">
        <v>952</v>
      </c>
      <c r="Q230" s="15">
        <v>120</v>
      </c>
      <c r="R230" s="158">
        <v>0.12605042016806722</v>
      </c>
      <c r="S230" s="401">
        <v>0.90187242346762031</v>
      </c>
      <c r="T230" s="153">
        <v>262</v>
      </c>
      <c r="U230" s="197">
        <v>273740.96187781019</v>
      </c>
      <c r="V230" s="159">
        <v>0</v>
      </c>
      <c r="W230" s="159">
        <v>0</v>
      </c>
      <c r="X230" s="159">
        <v>214304.31</v>
      </c>
      <c r="Y230" s="159">
        <v>592605.77345223865</v>
      </c>
      <c r="Z230" s="159">
        <v>0</v>
      </c>
      <c r="AA230" s="155">
        <v>0</v>
      </c>
      <c r="AB230" s="159">
        <v>105405.5819199424</v>
      </c>
      <c r="AC230" s="159">
        <v>221279.96000000002</v>
      </c>
      <c r="AD230" s="174">
        <f>SUM(Muut[[#This Row],[Työttömyysaste]:[Työttömät ja palveluissa olevat ]])</f>
        <v>1407336.587249991</v>
      </c>
      <c r="AF230" s="62"/>
    </row>
    <row r="231" spans="1:32" s="45" customFormat="1">
      <c r="A231" s="90">
        <v>704</v>
      </c>
      <c r="B231" s="151" t="s">
        <v>230</v>
      </c>
      <c r="C231" s="395">
        <v>6436</v>
      </c>
      <c r="D231" s="134">
        <v>129.08333333333334</v>
      </c>
      <c r="E231" s="41">
        <v>3135</v>
      </c>
      <c r="F231" s="332">
        <f t="shared" si="7"/>
        <v>4.1174906964380649E-2</v>
      </c>
      <c r="G231" s="377">
        <f>Muut[[#This Row],[Keskim. työttömyysaste 2023, %]]/$F$12</f>
        <v>0.41903250948395848</v>
      </c>
      <c r="H231" s="166">
        <v>0</v>
      </c>
      <c r="I231" s="383">
        <v>105</v>
      </c>
      <c r="J231" s="389">
        <v>214</v>
      </c>
      <c r="K231" s="269">
        <v>127.16</v>
      </c>
      <c r="L231" s="170">
        <f t="shared" si="8"/>
        <v>50.613400440390059</v>
      </c>
      <c r="M231" s="377">
        <v>0.36410198304118724</v>
      </c>
      <c r="N231" s="166">
        <v>0</v>
      </c>
      <c r="O231" s="397">
        <v>0</v>
      </c>
      <c r="P231" s="269">
        <v>2257</v>
      </c>
      <c r="Q231" s="15">
        <v>186</v>
      </c>
      <c r="R231" s="158">
        <v>8.2410279131590602E-2</v>
      </c>
      <c r="S231" s="401">
        <v>0.58963356139513534</v>
      </c>
      <c r="T231" s="153">
        <v>189</v>
      </c>
      <c r="U231" s="197">
        <v>186193.50867091579</v>
      </c>
      <c r="V231" s="159">
        <v>0</v>
      </c>
      <c r="W231" s="159">
        <v>0</v>
      </c>
      <c r="X231" s="159">
        <v>379017.54</v>
      </c>
      <c r="Y231" s="159">
        <v>96991.685418489025</v>
      </c>
      <c r="Z231" s="159">
        <v>0</v>
      </c>
      <c r="AA231" s="155">
        <v>0</v>
      </c>
      <c r="AB231" s="159">
        <v>107546.94457628184</v>
      </c>
      <c r="AC231" s="159">
        <v>159625.62</v>
      </c>
      <c r="AD231" s="174">
        <f>SUM(Muut[[#This Row],[Työttömyysaste]:[Työttömät ja palveluissa olevat ]])</f>
        <v>929375.29866568663</v>
      </c>
      <c r="AF231" s="62"/>
    </row>
    <row r="232" spans="1:32" s="45" customFormat="1">
      <c r="A232" s="90">
        <v>707</v>
      </c>
      <c r="B232" s="151" t="s">
        <v>231</v>
      </c>
      <c r="C232" s="395">
        <v>1902</v>
      </c>
      <c r="D232" s="134">
        <v>113.33333333333333</v>
      </c>
      <c r="E232" s="41">
        <v>744</v>
      </c>
      <c r="F232" s="332">
        <f t="shared" si="7"/>
        <v>0.15232974910394265</v>
      </c>
      <c r="G232" s="377">
        <f>Muut[[#This Row],[Keskim. työttömyysaste 2023, %]]/$F$12</f>
        <v>1.5502431393786882</v>
      </c>
      <c r="H232" s="166">
        <v>0</v>
      </c>
      <c r="I232" s="383">
        <v>2</v>
      </c>
      <c r="J232" s="389">
        <v>85</v>
      </c>
      <c r="K232" s="269">
        <v>428.05</v>
      </c>
      <c r="L232" s="170">
        <f t="shared" si="8"/>
        <v>4.4434061441420392</v>
      </c>
      <c r="M232" s="377">
        <v>4.1473677784550125</v>
      </c>
      <c r="N232" s="166">
        <v>3</v>
      </c>
      <c r="O232" s="397">
        <v>340</v>
      </c>
      <c r="P232" s="269">
        <v>394</v>
      </c>
      <c r="Q232" s="15">
        <v>62</v>
      </c>
      <c r="R232" s="158">
        <v>0.15736040609137056</v>
      </c>
      <c r="S232" s="401">
        <v>1.1258908190091546</v>
      </c>
      <c r="T232" s="153">
        <v>163</v>
      </c>
      <c r="U232" s="197">
        <v>203568.75162382424</v>
      </c>
      <c r="V232" s="159">
        <v>0</v>
      </c>
      <c r="W232" s="159">
        <v>0</v>
      </c>
      <c r="X232" s="159">
        <v>150544.35</v>
      </c>
      <c r="Y232" s="159">
        <v>326496.46857018117</v>
      </c>
      <c r="Z232" s="159">
        <v>0</v>
      </c>
      <c r="AA232" s="155">
        <v>100313.60000000001</v>
      </c>
      <c r="AB232" s="159">
        <v>60688.532531988378</v>
      </c>
      <c r="AC232" s="159">
        <v>137666.54</v>
      </c>
      <c r="AD232" s="174">
        <f>SUM(Muut[[#This Row],[Työttömyysaste]:[Työttömät ja palveluissa olevat ]])</f>
        <v>979278.24272599374</v>
      </c>
      <c r="AF232" s="62"/>
    </row>
    <row r="233" spans="1:32" s="45" customFormat="1">
      <c r="A233" s="90">
        <v>710</v>
      </c>
      <c r="B233" s="151" t="s">
        <v>232</v>
      </c>
      <c r="C233" s="395">
        <v>27209</v>
      </c>
      <c r="D233" s="134">
        <v>1076.4166666666667</v>
      </c>
      <c r="E233" s="41">
        <v>12605</v>
      </c>
      <c r="F233" s="332">
        <f t="shared" si="7"/>
        <v>8.5396006875578481E-2</v>
      </c>
      <c r="G233" s="377">
        <f>Muut[[#This Row],[Keskim. työttömyysaste 2023, %]]/$F$12</f>
        <v>0.86906579028675368</v>
      </c>
      <c r="H233" s="166">
        <v>3</v>
      </c>
      <c r="I233" s="383">
        <v>17311</v>
      </c>
      <c r="J233" s="389">
        <v>1590</v>
      </c>
      <c r="K233" s="269">
        <v>1152.1400000000001</v>
      </c>
      <c r="L233" s="170">
        <f t="shared" si="8"/>
        <v>23.616053604596662</v>
      </c>
      <c r="M233" s="377">
        <v>0.78033526588950419</v>
      </c>
      <c r="N233" s="166">
        <v>3</v>
      </c>
      <c r="O233" s="397">
        <v>1776</v>
      </c>
      <c r="P233" s="269">
        <v>8115</v>
      </c>
      <c r="Q233" s="15">
        <v>1322</v>
      </c>
      <c r="R233" s="158">
        <v>0.16290819470117068</v>
      </c>
      <c r="S233" s="401">
        <v>1.1655844396391795</v>
      </c>
      <c r="T233" s="153">
        <v>1465</v>
      </c>
      <c r="U233" s="197">
        <v>1632548.2215094639</v>
      </c>
      <c r="V233" s="159">
        <v>558132.77520000003</v>
      </c>
      <c r="W233" s="159">
        <v>4717718.3592000008</v>
      </c>
      <c r="X233" s="159">
        <v>2816064.9</v>
      </c>
      <c r="Y233" s="159">
        <v>878798.3677104275</v>
      </c>
      <c r="Z233" s="159">
        <v>0</v>
      </c>
      <c r="AA233" s="155">
        <v>523991.04000000004</v>
      </c>
      <c r="AB233" s="159">
        <v>898785.7280941566</v>
      </c>
      <c r="AC233" s="159">
        <v>1237309.7</v>
      </c>
      <c r="AD233" s="174">
        <f>SUM(Muut[[#This Row],[Työttömyysaste]:[Työttömät ja palveluissa olevat ]])</f>
        <v>13263349.091714051</v>
      </c>
      <c r="AF233" s="62"/>
    </row>
    <row r="234" spans="1:32" s="45" customFormat="1">
      <c r="A234" s="90">
        <v>729</v>
      </c>
      <c r="B234" s="151" t="s">
        <v>233</v>
      </c>
      <c r="C234" s="395">
        <v>8847</v>
      </c>
      <c r="D234" s="134">
        <v>502.75</v>
      </c>
      <c r="E234" s="41">
        <v>3648</v>
      </c>
      <c r="F234" s="332">
        <f t="shared" si="7"/>
        <v>0.13781524122807018</v>
      </c>
      <c r="G234" s="377">
        <f>Muut[[#This Row],[Keskim. työttömyysaste 2023, %]]/$F$12</f>
        <v>1.4025305856038139</v>
      </c>
      <c r="H234" s="166">
        <v>0</v>
      </c>
      <c r="I234" s="383">
        <v>13</v>
      </c>
      <c r="J234" s="389">
        <v>141</v>
      </c>
      <c r="K234" s="269">
        <v>1251.76</v>
      </c>
      <c r="L234" s="170">
        <f t="shared" si="8"/>
        <v>7.0676487505592123</v>
      </c>
      <c r="M234" s="377">
        <v>2.6074356719192662</v>
      </c>
      <c r="N234" s="166">
        <v>0</v>
      </c>
      <c r="O234" s="397">
        <v>0</v>
      </c>
      <c r="P234" s="269">
        <v>2138</v>
      </c>
      <c r="Q234" s="15">
        <v>304</v>
      </c>
      <c r="R234" s="158">
        <v>0.14218896164639849</v>
      </c>
      <c r="S234" s="401">
        <v>1.0173413405476965</v>
      </c>
      <c r="T234" s="153">
        <v>718</v>
      </c>
      <c r="U234" s="197">
        <v>856661.30579138245</v>
      </c>
      <c r="V234" s="159">
        <v>0</v>
      </c>
      <c r="W234" s="159">
        <v>0</v>
      </c>
      <c r="X234" s="159">
        <v>249726.50999999998</v>
      </c>
      <c r="Y234" s="159">
        <v>954783.83249015291</v>
      </c>
      <c r="Z234" s="159">
        <v>0</v>
      </c>
      <c r="AA234" s="155">
        <v>0</v>
      </c>
      <c r="AB234" s="159">
        <v>255071.86992065387</v>
      </c>
      <c r="AC234" s="159">
        <v>606408.44000000006</v>
      </c>
      <c r="AD234" s="174">
        <f>SUM(Muut[[#This Row],[Työttömyysaste]:[Työttömät ja palveluissa olevat ]])</f>
        <v>2922651.9582021893</v>
      </c>
      <c r="AF234" s="62"/>
    </row>
    <row r="235" spans="1:32" s="45" customFormat="1">
      <c r="A235" s="90">
        <v>732</v>
      </c>
      <c r="B235" s="151" t="s">
        <v>234</v>
      </c>
      <c r="C235" s="395">
        <v>3344</v>
      </c>
      <c r="D235" s="134">
        <v>181.58333333333334</v>
      </c>
      <c r="E235" s="41">
        <v>1370</v>
      </c>
      <c r="F235" s="332">
        <f t="shared" si="7"/>
        <v>0.1325425790754258</v>
      </c>
      <c r="G235" s="377">
        <f>Muut[[#This Row],[Keskim. työttömyysaste 2023, %]]/$F$12</f>
        <v>1.3488712815185617</v>
      </c>
      <c r="H235" s="166">
        <v>0</v>
      </c>
      <c r="I235" s="383">
        <v>11</v>
      </c>
      <c r="J235" s="389">
        <v>121</v>
      </c>
      <c r="K235" s="269">
        <v>5729.77</v>
      </c>
      <c r="L235" s="170">
        <f t="shared" si="8"/>
        <v>0.58361853966215049</v>
      </c>
      <c r="M235" s="377">
        <v>31.576172133722334</v>
      </c>
      <c r="N235" s="166">
        <v>0</v>
      </c>
      <c r="O235" s="397">
        <v>0</v>
      </c>
      <c r="P235" s="269">
        <v>744</v>
      </c>
      <c r="Q235" s="15">
        <v>108</v>
      </c>
      <c r="R235" s="158">
        <v>0.14516129032258066</v>
      </c>
      <c r="S235" s="401">
        <v>1.0386079199288403</v>
      </c>
      <c r="T235" s="153">
        <v>236</v>
      </c>
      <c r="U235" s="197">
        <v>311413.58903508278</v>
      </c>
      <c r="V235" s="159">
        <v>0</v>
      </c>
      <c r="W235" s="159">
        <v>0</v>
      </c>
      <c r="X235" s="159">
        <v>214304.31</v>
      </c>
      <c r="Y235" s="159">
        <v>2768163.2</v>
      </c>
      <c r="Z235" s="159">
        <v>0</v>
      </c>
      <c r="AA235" s="155">
        <v>0</v>
      </c>
      <c r="AB235" s="159">
        <v>98427.792419419464</v>
      </c>
      <c r="AC235" s="159">
        <v>199320.88</v>
      </c>
      <c r="AD235" s="174">
        <f>SUM(Muut[[#This Row],[Työttömyysaste]:[Työttömät ja palveluissa olevat ]])</f>
        <v>3591629.7714545024</v>
      </c>
      <c r="AF235" s="62"/>
    </row>
    <row r="236" spans="1:32" s="45" customFormat="1">
      <c r="A236" s="90">
        <v>734</v>
      </c>
      <c r="B236" s="151" t="s">
        <v>235</v>
      </c>
      <c r="C236" s="395">
        <v>51100</v>
      </c>
      <c r="D236" s="134">
        <v>2114.8333333333335</v>
      </c>
      <c r="E236" s="41">
        <v>23238</v>
      </c>
      <c r="F236" s="332">
        <f t="shared" si="7"/>
        <v>9.1007545112889818E-2</v>
      </c>
      <c r="G236" s="377">
        <f>Muut[[#This Row],[Keskim. työttömyysaste 2023, %]]/$F$12</f>
        <v>0.92617379909609743</v>
      </c>
      <c r="H236" s="166">
        <v>0</v>
      </c>
      <c r="I236" s="383">
        <v>588</v>
      </c>
      <c r="J236" s="389">
        <v>4273</v>
      </c>
      <c r="K236" s="269">
        <v>1989.77</v>
      </c>
      <c r="L236" s="170">
        <f t="shared" si="8"/>
        <v>25.6813601572041</v>
      </c>
      <c r="M236" s="377">
        <v>0.71758035228652794</v>
      </c>
      <c r="N236" s="166">
        <v>3</v>
      </c>
      <c r="O236" s="397">
        <v>581</v>
      </c>
      <c r="P236" s="269">
        <v>15075</v>
      </c>
      <c r="Q236" s="15">
        <v>2272</v>
      </c>
      <c r="R236" s="158">
        <v>0.15071310116086237</v>
      </c>
      <c r="S236" s="401">
        <v>1.0783303190186559</v>
      </c>
      <c r="T236" s="153">
        <v>3432</v>
      </c>
      <c r="U236" s="197">
        <v>3267489.2974782828</v>
      </c>
      <c r="V236" s="159">
        <v>0</v>
      </c>
      <c r="W236" s="159">
        <v>0</v>
      </c>
      <c r="X236" s="159">
        <v>7567953.0299999993</v>
      </c>
      <c r="Y236" s="159">
        <v>1517703.254916223</v>
      </c>
      <c r="Z236" s="159">
        <v>0</v>
      </c>
      <c r="AA236" s="155">
        <v>171418.24000000002</v>
      </c>
      <c r="AB236" s="159">
        <v>1561609.9314145232</v>
      </c>
      <c r="AC236" s="159">
        <v>2898598.56</v>
      </c>
      <c r="AD236" s="174">
        <f>SUM(Muut[[#This Row],[Työttömyysaste]:[Työttömät ja palveluissa olevat ]])</f>
        <v>16984772.313809026</v>
      </c>
      <c r="AF236" s="62"/>
    </row>
    <row r="237" spans="1:32" s="45" customFormat="1">
      <c r="A237" s="90">
        <v>738</v>
      </c>
      <c r="B237" s="151" t="s">
        <v>236</v>
      </c>
      <c r="C237" s="395">
        <v>2974</v>
      </c>
      <c r="D237" s="134">
        <v>64.583333333333329</v>
      </c>
      <c r="E237" s="41">
        <v>1322</v>
      </c>
      <c r="F237" s="332">
        <f t="shared" si="7"/>
        <v>4.8852748361069086E-2</v>
      </c>
      <c r="G237" s="377">
        <f>Muut[[#This Row],[Keskim. työttömyysaste 2023, %]]/$F$12</f>
        <v>0.49716905878223255</v>
      </c>
      <c r="H237" s="166">
        <v>0</v>
      </c>
      <c r="I237" s="383">
        <v>73</v>
      </c>
      <c r="J237" s="389">
        <v>203</v>
      </c>
      <c r="K237" s="269">
        <v>252.78</v>
      </c>
      <c r="L237" s="170">
        <f t="shared" si="8"/>
        <v>11.765171295197405</v>
      </c>
      <c r="M237" s="377">
        <v>1.566355389685341</v>
      </c>
      <c r="N237" s="166">
        <v>0</v>
      </c>
      <c r="O237" s="397">
        <v>0</v>
      </c>
      <c r="P237" s="269">
        <v>907</v>
      </c>
      <c r="Q237" s="15">
        <v>124</v>
      </c>
      <c r="R237" s="158">
        <v>0.13671444321940462</v>
      </c>
      <c r="S237" s="401">
        <v>0.97817195741919927</v>
      </c>
      <c r="T237" s="153">
        <v>126</v>
      </c>
      <c r="U237" s="197">
        <v>102081.21710769956</v>
      </c>
      <c r="V237" s="159">
        <v>0</v>
      </c>
      <c r="W237" s="159">
        <v>0</v>
      </c>
      <c r="X237" s="159">
        <v>359535.32999999996</v>
      </c>
      <c r="Y237" s="159">
        <v>192808.73104817283</v>
      </c>
      <c r="Z237" s="159">
        <v>0</v>
      </c>
      <c r="AA237" s="155">
        <v>0</v>
      </c>
      <c r="AB237" s="159">
        <v>82443.423594675551</v>
      </c>
      <c r="AC237" s="159">
        <v>106417.08</v>
      </c>
      <c r="AD237" s="174">
        <f>SUM(Muut[[#This Row],[Työttömyysaste]:[Työttömät ja palveluissa olevat ]])</f>
        <v>843285.78175054782</v>
      </c>
      <c r="AF237" s="62"/>
    </row>
    <row r="238" spans="1:32" s="45" customFormat="1">
      <c r="A238" s="90">
        <v>739</v>
      </c>
      <c r="B238" s="151" t="s">
        <v>237</v>
      </c>
      <c r="C238" s="395">
        <v>3216</v>
      </c>
      <c r="D238" s="134">
        <v>128.58333333333334</v>
      </c>
      <c r="E238" s="41">
        <v>1276</v>
      </c>
      <c r="F238" s="332">
        <f t="shared" si="7"/>
        <v>0.10077063740856845</v>
      </c>
      <c r="G238" s="377">
        <f>Muut[[#This Row],[Keskim. työttömyysaste 2023, %]]/$F$12</f>
        <v>1.0255317179499466</v>
      </c>
      <c r="H238" s="166">
        <v>0</v>
      </c>
      <c r="I238" s="383">
        <v>12</v>
      </c>
      <c r="J238" s="389">
        <v>83</v>
      </c>
      <c r="K238" s="269">
        <v>539.07000000000005</v>
      </c>
      <c r="L238" s="170">
        <f t="shared" si="8"/>
        <v>5.9658300406255211</v>
      </c>
      <c r="M238" s="377">
        <v>3.0889984031243851</v>
      </c>
      <c r="N238" s="166">
        <v>0</v>
      </c>
      <c r="O238" s="397">
        <v>0</v>
      </c>
      <c r="P238" s="269">
        <v>749</v>
      </c>
      <c r="Q238" s="15">
        <v>111</v>
      </c>
      <c r="R238" s="158">
        <v>0.14819759679572764</v>
      </c>
      <c r="S238" s="401">
        <v>1.060332251142305</v>
      </c>
      <c r="T238" s="153">
        <v>164</v>
      </c>
      <c r="U238" s="197">
        <v>227701.51474016203</v>
      </c>
      <c r="V238" s="159">
        <v>0</v>
      </c>
      <c r="W238" s="159">
        <v>0</v>
      </c>
      <c r="X238" s="159">
        <v>147002.13</v>
      </c>
      <c r="Y238" s="159">
        <v>411177.31879950367</v>
      </c>
      <c r="Z238" s="159">
        <v>0</v>
      </c>
      <c r="AA238" s="155">
        <v>0</v>
      </c>
      <c r="AB238" s="159">
        <v>96640.208247551316</v>
      </c>
      <c r="AC238" s="159">
        <v>138511.12</v>
      </c>
      <c r="AD238" s="174">
        <f>SUM(Muut[[#This Row],[Työttömyysaste]:[Työttömät ja palveluissa olevat ]])</f>
        <v>1021032.2917872171</v>
      </c>
      <c r="AF238" s="62"/>
    </row>
    <row r="239" spans="1:32" s="45" customFormat="1">
      <c r="A239" s="90">
        <v>740</v>
      </c>
      <c r="B239" s="151" t="s">
        <v>238</v>
      </c>
      <c r="C239" s="395">
        <v>31843</v>
      </c>
      <c r="D239" s="134">
        <v>1548.75</v>
      </c>
      <c r="E239" s="41">
        <v>13636</v>
      </c>
      <c r="F239" s="332">
        <f t="shared" si="7"/>
        <v>0.11357802874743327</v>
      </c>
      <c r="G239" s="377">
        <f>Muut[[#This Row],[Keskim. työttömyysaste 2023, %]]/$F$12</f>
        <v>1.1558711340732237</v>
      </c>
      <c r="H239" s="166">
        <v>0</v>
      </c>
      <c r="I239" s="383">
        <v>42</v>
      </c>
      <c r="J239" s="389">
        <v>1541</v>
      </c>
      <c r="K239" s="269">
        <v>2237.9</v>
      </c>
      <c r="L239" s="170">
        <f t="shared" si="8"/>
        <v>14.228964654363466</v>
      </c>
      <c r="M239" s="377">
        <v>1.2951356557873268</v>
      </c>
      <c r="N239" s="166">
        <v>3</v>
      </c>
      <c r="O239" s="397">
        <v>4684</v>
      </c>
      <c r="P239" s="269">
        <v>8047</v>
      </c>
      <c r="Q239" s="15">
        <v>983</v>
      </c>
      <c r="R239" s="158">
        <v>0.12215732571144526</v>
      </c>
      <c r="S239" s="401">
        <v>0.87401789884405645</v>
      </c>
      <c r="T239" s="153">
        <v>2330</v>
      </c>
      <c r="U239" s="197">
        <v>2541114.1682191547</v>
      </c>
      <c r="V239" s="159">
        <v>0</v>
      </c>
      <c r="W239" s="159">
        <v>0</v>
      </c>
      <c r="X239" s="159">
        <v>2729280.51</v>
      </c>
      <c r="Y239" s="159">
        <v>1706965.1840046919</v>
      </c>
      <c r="Z239" s="159">
        <v>0</v>
      </c>
      <c r="AA239" s="155">
        <v>1381967.36</v>
      </c>
      <c r="AB239" s="159">
        <v>788740.51434493915</v>
      </c>
      <c r="AC239" s="159">
        <v>1967871.4000000001</v>
      </c>
      <c r="AD239" s="174">
        <f>SUM(Muut[[#This Row],[Työttömyysaste]:[Työttömät ja palveluissa olevat ]])</f>
        <v>11115939.136568787</v>
      </c>
      <c r="AF239" s="62"/>
    </row>
    <row r="240" spans="1:32" s="45" customFormat="1">
      <c r="A240" s="90">
        <v>742</v>
      </c>
      <c r="B240" s="151" t="s">
        <v>239</v>
      </c>
      <c r="C240" s="395">
        <v>978</v>
      </c>
      <c r="D240" s="134">
        <v>61.083333333333336</v>
      </c>
      <c r="E240" s="41">
        <v>458</v>
      </c>
      <c r="F240" s="332">
        <f t="shared" si="7"/>
        <v>0.13336972343522563</v>
      </c>
      <c r="G240" s="377">
        <f>Muut[[#This Row],[Keskim. työttömyysaste 2023, %]]/$F$12</f>
        <v>1.3572890388942436</v>
      </c>
      <c r="H240" s="166">
        <v>0</v>
      </c>
      <c r="I240" s="383">
        <v>4</v>
      </c>
      <c r="J240" s="389">
        <v>20</v>
      </c>
      <c r="K240" s="269">
        <v>6440.08</v>
      </c>
      <c r="L240" s="170">
        <f t="shared" si="8"/>
        <v>0.15186146755940921</v>
      </c>
      <c r="M240" s="377">
        <v>121.35033175281539</v>
      </c>
      <c r="N240" s="166">
        <v>0</v>
      </c>
      <c r="O240" s="397">
        <v>0</v>
      </c>
      <c r="P240" s="269">
        <v>227</v>
      </c>
      <c r="Q240" s="15">
        <v>29</v>
      </c>
      <c r="R240" s="158">
        <v>0.1277533039647577</v>
      </c>
      <c r="S240" s="401">
        <v>0.91405630936468651</v>
      </c>
      <c r="T240" s="153">
        <v>88</v>
      </c>
      <c r="U240" s="197">
        <v>91645.676069862908</v>
      </c>
      <c r="V240" s="159">
        <v>0</v>
      </c>
      <c r="W240" s="159">
        <v>0</v>
      </c>
      <c r="X240" s="159">
        <v>35422.199999999997</v>
      </c>
      <c r="Y240" s="159">
        <v>809588.4</v>
      </c>
      <c r="Z240" s="159">
        <v>0</v>
      </c>
      <c r="AA240" s="155">
        <v>0</v>
      </c>
      <c r="AB240" s="159">
        <v>25334.45997963252</v>
      </c>
      <c r="AC240" s="159">
        <v>74323.040000000008</v>
      </c>
      <c r="AD240" s="174">
        <f>SUM(Muut[[#This Row],[Työttömyysaste]:[Työttömät ja palveluissa olevat ]])</f>
        <v>1036313.7760494954</v>
      </c>
      <c r="AF240" s="62"/>
    </row>
    <row r="241" spans="1:32" s="45" customFormat="1">
      <c r="A241" s="90">
        <v>743</v>
      </c>
      <c r="B241" s="151" t="s">
        <v>240</v>
      </c>
      <c r="C241" s="395">
        <v>66160</v>
      </c>
      <c r="D241" s="134">
        <v>2270.5</v>
      </c>
      <c r="E241" s="41">
        <v>31684</v>
      </c>
      <c r="F241" s="332">
        <f t="shared" si="7"/>
        <v>7.166077515465219E-2</v>
      </c>
      <c r="G241" s="377">
        <f>Muut[[#This Row],[Keskim. työttömyysaste 2023, %]]/$F$12</f>
        <v>0.72928384442000627</v>
      </c>
      <c r="H241" s="166">
        <v>0</v>
      </c>
      <c r="I241" s="383">
        <v>152</v>
      </c>
      <c r="J241" s="389">
        <v>2981</v>
      </c>
      <c r="K241" s="269">
        <v>1431.59</v>
      </c>
      <c r="L241" s="170">
        <f t="shared" si="8"/>
        <v>46.214349080393134</v>
      </c>
      <c r="M241" s="377">
        <v>0.39876012181294912</v>
      </c>
      <c r="N241" s="166">
        <v>0</v>
      </c>
      <c r="O241" s="397">
        <v>0</v>
      </c>
      <c r="P241" s="269">
        <v>20577</v>
      </c>
      <c r="Q241" s="15">
        <v>1755</v>
      </c>
      <c r="R241" s="158">
        <v>8.5289400787286779E-2</v>
      </c>
      <c r="S241" s="401">
        <v>0.61023325810077655</v>
      </c>
      <c r="T241" s="153">
        <v>3533</v>
      </c>
      <c r="U241" s="197">
        <v>3331139.897896979</v>
      </c>
      <c r="V241" s="159">
        <v>0</v>
      </c>
      <c r="W241" s="159">
        <v>0</v>
      </c>
      <c r="X241" s="159">
        <v>5279678.91</v>
      </c>
      <c r="Y241" s="159">
        <v>1091949.7241919998</v>
      </c>
      <c r="Z241" s="159">
        <v>0</v>
      </c>
      <c r="AA241" s="155">
        <v>0</v>
      </c>
      <c r="AB241" s="159">
        <v>1144171.7369675487</v>
      </c>
      <c r="AC241" s="159">
        <v>2983901.14</v>
      </c>
      <c r="AD241" s="174">
        <f>SUM(Muut[[#This Row],[Työttömyysaste]:[Työttömät ja palveluissa olevat ]])</f>
        <v>13830841.409056528</v>
      </c>
      <c r="AF241" s="62"/>
    </row>
    <row r="242" spans="1:32" s="45" customFormat="1">
      <c r="A242" s="90">
        <v>746</v>
      </c>
      <c r="B242" s="151" t="s">
        <v>241</v>
      </c>
      <c r="C242" s="395">
        <v>4713</v>
      </c>
      <c r="D242" s="134">
        <v>172.5</v>
      </c>
      <c r="E242" s="41">
        <v>1932</v>
      </c>
      <c r="F242" s="332">
        <f t="shared" si="7"/>
        <v>8.9285714285714288E-2</v>
      </c>
      <c r="G242" s="377">
        <f>Muut[[#This Row],[Keskim. työttömyysaste 2023, %]]/$F$12</f>
        <v>0.90865091572826473</v>
      </c>
      <c r="H242" s="166">
        <v>0</v>
      </c>
      <c r="I242" s="383">
        <v>10</v>
      </c>
      <c r="J242" s="389">
        <v>167</v>
      </c>
      <c r="K242" s="269">
        <v>786.41</v>
      </c>
      <c r="L242" s="170">
        <f t="shared" si="8"/>
        <v>5.9930570567515673</v>
      </c>
      <c r="M242" s="377">
        <v>3.0749647958119954</v>
      </c>
      <c r="N242" s="166">
        <v>0</v>
      </c>
      <c r="O242" s="397">
        <v>0</v>
      </c>
      <c r="P242" s="269">
        <v>1278</v>
      </c>
      <c r="Q242" s="15">
        <v>183</v>
      </c>
      <c r="R242" s="158">
        <v>0.14319248826291081</v>
      </c>
      <c r="S242" s="401">
        <v>1.0245214275354393</v>
      </c>
      <c r="T242" s="153">
        <v>225</v>
      </c>
      <c r="U242" s="197">
        <v>295661.85071271763</v>
      </c>
      <c r="V242" s="159">
        <v>0</v>
      </c>
      <c r="W242" s="159">
        <v>0</v>
      </c>
      <c r="X242" s="159">
        <v>295775.37</v>
      </c>
      <c r="Y242" s="159">
        <v>599836.67293137743</v>
      </c>
      <c r="Z242" s="159">
        <v>0</v>
      </c>
      <c r="AA242" s="155">
        <v>0</v>
      </c>
      <c r="AB242" s="159">
        <v>136841.65928919805</v>
      </c>
      <c r="AC242" s="159">
        <v>190030.5</v>
      </c>
      <c r="AD242" s="174">
        <f>SUM(Muut[[#This Row],[Työttömyysaste]:[Työttömät ja palveluissa olevat ]])</f>
        <v>1518146.0529332929</v>
      </c>
      <c r="AF242" s="62"/>
    </row>
    <row r="243" spans="1:32" s="45" customFormat="1">
      <c r="A243" s="90">
        <v>747</v>
      </c>
      <c r="B243" s="151" t="s">
        <v>242</v>
      </c>
      <c r="C243" s="395">
        <v>1283</v>
      </c>
      <c r="D243" s="134">
        <v>55</v>
      </c>
      <c r="E243" s="41">
        <v>517</v>
      </c>
      <c r="F243" s="332">
        <f t="shared" si="7"/>
        <v>0.10638297872340426</v>
      </c>
      <c r="G243" s="377">
        <f>Muut[[#This Row],[Keskim. työttömyysaste 2023, %]]/$F$12</f>
        <v>1.082647899591124</v>
      </c>
      <c r="H243" s="166">
        <v>0</v>
      </c>
      <c r="I243" s="383">
        <v>2</v>
      </c>
      <c r="J243" s="389">
        <v>18</v>
      </c>
      <c r="K243" s="269">
        <v>463.32</v>
      </c>
      <c r="L243" s="170">
        <f t="shared" si="8"/>
        <v>2.7691444358111026</v>
      </c>
      <c r="M243" s="377">
        <v>6.6549217261778173</v>
      </c>
      <c r="N243" s="166">
        <v>0</v>
      </c>
      <c r="O243" s="397">
        <v>0</v>
      </c>
      <c r="P243" s="269">
        <v>281</v>
      </c>
      <c r="Q243" s="15">
        <v>40</v>
      </c>
      <c r="R243" s="158">
        <v>0.14234875444839859</v>
      </c>
      <c r="S243" s="401">
        <v>1.018484634805664</v>
      </c>
      <c r="T243" s="153">
        <v>87</v>
      </c>
      <c r="U243" s="197">
        <v>95899.132097310459</v>
      </c>
      <c r="V243" s="159">
        <v>0</v>
      </c>
      <c r="W243" s="159">
        <v>0</v>
      </c>
      <c r="X243" s="159">
        <v>31879.98</v>
      </c>
      <c r="Y243" s="159">
        <v>353398.77074625931</v>
      </c>
      <c r="Z243" s="159">
        <v>0</v>
      </c>
      <c r="AA243" s="155">
        <v>0</v>
      </c>
      <c r="AB243" s="159">
        <v>37032.3253881536</v>
      </c>
      <c r="AC243" s="159">
        <v>73478.460000000006</v>
      </c>
      <c r="AD243" s="174">
        <f>SUM(Muut[[#This Row],[Työttömyysaste]:[Työttömät ja palveluissa olevat ]])</f>
        <v>591688.66823172336</v>
      </c>
      <c r="AF243" s="62"/>
    </row>
    <row r="244" spans="1:32" s="45" customFormat="1">
      <c r="A244" s="90">
        <v>748</v>
      </c>
      <c r="B244" s="151" t="s">
        <v>243</v>
      </c>
      <c r="C244" s="395">
        <v>4837</v>
      </c>
      <c r="D244" s="134">
        <v>182.41666666666666</v>
      </c>
      <c r="E244" s="41">
        <v>2003</v>
      </c>
      <c r="F244" s="332">
        <f t="shared" si="7"/>
        <v>9.1071725744716253E-2</v>
      </c>
      <c r="G244" s="377">
        <f>Muut[[#This Row],[Keskim. työttömyysaste 2023, %]]/$F$12</f>
        <v>0.92682695834276585</v>
      </c>
      <c r="H244" s="166">
        <v>0</v>
      </c>
      <c r="I244" s="383">
        <v>2</v>
      </c>
      <c r="J244" s="389">
        <v>83</v>
      </c>
      <c r="K244" s="269">
        <v>1055.47</v>
      </c>
      <c r="L244" s="170">
        <f t="shared" si="8"/>
        <v>4.582792500023686</v>
      </c>
      <c r="M244" s="377">
        <v>4.0212249340786155</v>
      </c>
      <c r="N244" s="166">
        <v>0</v>
      </c>
      <c r="O244" s="397">
        <v>0</v>
      </c>
      <c r="P244" s="269">
        <v>1271</v>
      </c>
      <c r="Q244" s="15">
        <v>178</v>
      </c>
      <c r="R244" s="158">
        <v>0.14004720692368214</v>
      </c>
      <c r="S244" s="401">
        <v>1.0020173970045179</v>
      </c>
      <c r="T244" s="153">
        <v>258</v>
      </c>
      <c r="U244" s="197">
        <v>309510.60030767333</v>
      </c>
      <c r="V244" s="159">
        <v>0</v>
      </c>
      <c r="W244" s="159">
        <v>0</v>
      </c>
      <c r="X244" s="159">
        <v>147002.13</v>
      </c>
      <c r="Y244" s="159">
        <v>805063.02460406278</v>
      </c>
      <c r="Z244" s="159">
        <v>0</v>
      </c>
      <c r="AA244" s="155">
        <v>0</v>
      </c>
      <c r="AB244" s="159">
        <v>137357.12595146956</v>
      </c>
      <c r="AC244" s="159">
        <v>217901.64</v>
      </c>
      <c r="AD244" s="174">
        <f>SUM(Muut[[#This Row],[Työttömyysaste]:[Työttömät ja palveluissa olevat ]])</f>
        <v>1616834.5208632057</v>
      </c>
      <c r="AF244" s="62"/>
    </row>
    <row r="245" spans="1:32" s="45" customFormat="1">
      <c r="A245" s="90">
        <v>749</v>
      </c>
      <c r="B245" s="151" t="s">
        <v>244</v>
      </c>
      <c r="C245" s="395">
        <v>21290</v>
      </c>
      <c r="D245" s="134">
        <v>746.91666666666663</v>
      </c>
      <c r="E245" s="41">
        <v>9914</v>
      </c>
      <c r="F245" s="332">
        <f t="shared" si="7"/>
        <v>7.5339587115863083E-2</v>
      </c>
      <c r="G245" s="377">
        <f>Muut[[#This Row],[Keskim. työttömyysaste 2023, %]]/$F$12</f>
        <v>0.76672271002228565</v>
      </c>
      <c r="H245" s="166">
        <v>0</v>
      </c>
      <c r="I245" s="383">
        <v>18</v>
      </c>
      <c r="J245" s="389">
        <v>483</v>
      </c>
      <c r="K245" s="269">
        <v>401</v>
      </c>
      <c r="L245" s="170">
        <f t="shared" si="8"/>
        <v>53.092269326683294</v>
      </c>
      <c r="M245" s="377">
        <v>0.34710212433021564</v>
      </c>
      <c r="N245" s="166">
        <v>0</v>
      </c>
      <c r="O245" s="397">
        <v>0</v>
      </c>
      <c r="P245" s="269">
        <v>6845</v>
      </c>
      <c r="Q245" s="15">
        <v>467</v>
      </c>
      <c r="R245" s="158">
        <v>6.8224981738495255E-2</v>
      </c>
      <c r="S245" s="401">
        <v>0.48813982166414482</v>
      </c>
      <c r="T245" s="153">
        <v>982</v>
      </c>
      <c r="U245" s="197">
        <v>1126976.2693096928</v>
      </c>
      <c r="V245" s="159">
        <v>0</v>
      </c>
      <c r="W245" s="159">
        <v>0</v>
      </c>
      <c r="X245" s="159">
        <v>855446.13</v>
      </c>
      <c r="Y245" s="159">
        <v>305863.99695512815</v>
      </c>
      <c r="Z245" s="159">
        <v>0</v>
      </c>
      <c r="AA245" s="155">
        <v>0</v>
      </c>
      <c r="AB245" s="159">
        <v>294523.3594035281</v>
      </c>
      <c r="AC245" s="159">
        <v>829377.56</v>
      </c>
      <c r="AD245" s="174">
        <f>SUM(Muut[[#This Row],[Työttömyysaste]:[Työttömät ja palveluissa olevat ]])</f>
        <v>3412187.3156683496</v>
      </c>
      <c r="AF245" s="62"/>
    </row>
    <row r="246" spans="1:32" s="45" customFormat="1">
      <c r="A246" s="90">
        <v>751</v>
      </c>
      <c r="B246" s="151" t="s">
        <v>245</v>
      </c>
      <c r="C246" s="395">
        <v>2828</v>
      </c>
      <c r="D246" s="134">
        <v>127.25</v>
      </c>
      <c r="E246" s="41">
        <v>1146</v>
      </c>
      <c r="F246" s="332">
        <f t="shared" si="7"/>
        <v>0.11103839441535776</v>
      </c>
      <c r="G246" s="377">
        <f>Muut[[#This Row],[Keskim. työttömyysaste 2023, %]]/$F$12</f>
        <v>1.130025554184924</v>
      </c>
      <c r="H246" s="166">
        <v>0</v>
      </c>
      <c r="I246" s="383">
        <v>5</v>
      </c>
      <c r="J246" s="389">
        <v>27</v>
      </c>
      <c r="K246" s="269">
        <v>1446.29</v>
      </c>
      <c r="L246" s="170">
        <f t="shared" si="8"/>
        <v>1.9553478209764295</v>
      </c>
      <c r="M246" s="377">
        <v>9.4246349785488448</v>
      </c>
      <c r="N246" s="166">
        <v>0</v>
      </c>
      <c r="O246" s="397">
        <v>0</v>
      </c>
      <c r="P246" s="269">
        <v>697</v>
      </c>
      <c r="Q246" s="15">
        <v>68</v>
      </c>
      <c r="R246" s="158">
        <v>9.7560975609756101E-2</v>
      </c>
      <c r="S246" s="401">
        <v>0.69803459117168665</v>
      </c>
      <c r="T246" s="153">
        <v>181</v>
      </c>
      <c r="U246" s="197">
        <v>220631.974929902</v>
      </c>
      <c r="V246" s="159">
        <v>0</v>
      </c>
      <c r="W246" s="159">
        <v>0</v>
      </c>
      <c r="X246" s="159">
        <v>47819.969999999994</v>
      </c>
      <c r="Y246" s="159">
        <v>1103162.1949033225</v>
      </c>
      <c r="Z246" s="159">
        <v>0</v>
      </c>
      <c r="AA246" s="155">
        <v>0</v>
      </c>
      <c r="AB246" s="159">
        <v>55944.345287442236</v>
      </c>
      <c r="AC246" s="159">
        <v>152868.98000000001</v>
      </c>
      <c r="AD246" s="174">
        <f>SUM(Muut[[#This Row],[Työttömyysaste]:[Työttömät ja palveluissa olevat ]])</f>
        <v>1580427.4651206667</v>
      </c>
      <c r="AF246" s="62"/>
    </row>
    <row r="247" spans="1:32" s="45" customFormat="1">
      <c r="A247" s="90">
        <v>753</v>
      </c>
      <c r="B247" s="151" t="s">
        <v>246</v>
      </c>
      <c r="C247" s="395">
        <v>22595</v>
      </c>
      <c r="D247" s="134">
        <v>730.16666666666663</v>
      </c>
      <c r="E247" s="41">
        <v>11691</v>
      </c>
      <c r="F247" s="332">
        <f t="shared" si="7"/>
        <v>6.245545006130071E-2</v>
      </c>
      <c r="G247" s="377">
        <f>Muut[[#This Row],[Keskim. työttömyysaste 2023, %]]/$F$12</f>
        <v>0.63560226117272411</v>
      </c>
      <c r="H247" s="166">
        <v>1</v>
      </c>
      <c r="I247" s="383">
        <v>6348</v>
      </c>
      <c r="J247" s="389">
        <v>1600</v>
      </c>
      <c r="K247" s="269">
        <v>339.65</v>
      </c>
      <c r="L247" s="170">
        <f t="shared" si="8"/>
        <v>66.524363315177396</v>
      </c>
      <c r="M247" s="377">
        <v>0.27701790066736814</v>
      </c>
      <c r="N247" s="166">
        <v>3</v>
      </c>
      <c r="O247" s="397">
        <v>198</v>
      </c>
      <c r="P247" s="269">
        <v>7740</v>
      </c>
      <c r="Q247" s="15">
        <v>952</v>
      </c>
      <c r="R247" s="158">
        <v>0.12299741602067184</v>
      </c>
      <c r="S247" s="401">
        <v>0.8800286228234262</v>
      </c>
      <c r="T247" s="153">
        <v>949</v>
      </c>
      <c r="U247" s="197">
        <v>991513.34061628929</v>
      </c>
      <c r="V247" s="159">
        <v>463486.71600000007</v>
      </c>
      <c r="W247" s="159">
        <v>1730002.6656000004</v>
      </c>
      <c r="X247" s="159">
        <v>2833776</v>
      </c>
      <c r="Y247" s="159">
        <v>259069.0936803224</v>
      </c>
      <c r="Z247" s="159">
        <v>0</v>
      </c>
      <c r="AA247" s="155">
        <v>58417.920000000006</v>
      </c>
      <c r="AB247" s="159">
        <v>563519.55240458529</v>
      </c>
      <c r="AC247" s="159">
        <v>801506.42</v>
      </c>
      <c r="AD247" s="174">
        <f>SUM(Muut[[#This Row],[Työttömyysaste]:[Työttömät ja palveluissa olevat ]])</f>
        <v>7701291.7083011968</v>
      </c>
      <c r="AF247" s="62"/>
    </row>
    <row r="248" spans="1:32" s="45" customFormat="1">
      <c r="A248" s="90">
        <v>755</v>
      </c>
      <c r="B248" s="151" t="s">
        <v>247</v>
      </c>
      <c r="C248" s="395">
        <v>6158</v>
      </c>
      <c r="D248" s="134">
        <v>169.66666666666666</v>
      </c>
      <c r="E248" s="41">
        <v>3164</v>
      </c>
      <c r="F248" s="332">
        <f t="shared" si="7"/>
        <v>5.3624104509060258E-2</v>
      </c>
      <c r="G248" s="377">
        <f>Muut[[#This Row],[Keskim. työttömyysaste 2023, %]]/$F$12</f>
        <v>0.54572662667337668</v>
      </c>
      <c r="H248" s="166">
        <v>1</v>
      </c>
      <c r="I248" s="383">
        <v>1618</v>
      </c>
      <c r="J248" s="389">
        <v>493</v>
      </c>
      <c r="K248" s="269">
        <v>241.54</v>
      </c>
      <c r="L248" s="170">
        <f t="shared" si="8"/>
        <v>25.49474207170655</v>
      </c>
      <c r="M248" s="377">
        <v>0.72283294402319753</v>
      </c>
      <c r="N248" s="166">
        <v>0</v>
      </c>
      <c r="O248" s="397">
        <v>0</v>
      </c>
      <c r="P248" s="269">
        <v>2101</v>
      </c>
      <c r="Q248" s="15">
        <v>352</v>
      </c>
      <c r="R248" s="158">
        <v>0.16753926701570682</v>
      </c>
      <c r="S248" s="401">
        <v>1.1987190885042578</v>
      </c>
      <c r="T248" s="153">
        <v>225</v>
      </c>
      <c r="U248" s="197">
        <v>232014.75850945333</v>
      </c>
      <c r="V248" s="159">
        <v>126317.82240000002</v>
      </c>
      <c r="W248" s="159">
        <v>440949.00960000011</v>
      </c>
      <c r="X248" s="159">
        <v>873157.23</v>
      </c>
      <c r="Y248" s="159">
        <v>184235.38609611386</v>
      </c>
      <c r="Z248" s="159">
        <v>0</v>
      </c>
      <c r="AA248" s="155">
        <v>0</v>
      </c>
      <c r="AB248" s="159">
        <v>209197.72224624129</v>
      </c>
      <c r="AC248" s="159">
        <v>190030.5</v>
      </c>
      <c r="AD248" s="174">
        <f>SUM(Muut[[#This Row],[Työttömyysaste]:[Työttömät ja palveluissa olevat ]])</f>
        <v>2255902.4288518084</v>
      </c>
      <c r="AF248" s="62"/>
    </row>
    <row r="249" spans="1:32" s="45" customFormat="1">
      <c r="A249" s="90">
        <v>758</v>
      </c>
      <c r="B249" s="151" t="s">
        <v>248</v>
      </c>
      <c r="C249" s="395">
        <v>8126</v>
      </c>
      <c r="D249" s="134">
        <v>238.83333333333334</v>
      </c>
      <c r="E249" s="41">
        <v>3837</v>
      </c>
      <c r="F249" s="332">
        <f t="shared" si="7"/>
        <v>6.224480931283121E-2</v>
      </c>
      <c r="G249" s="377">
        <f>Muut[[#This Row],[Keskim. työttömyysaste 2023, %]]/$F$12</f>
        <v>0.63345859339207533</v>
      </c>
      <c r="H249" s="166">
        <v>0</v>
      </c>
      <c r="I249" s="383">
        <v>13</v>
      </c>
      <c r="J249" s="389">
        <v>195</v>
      </c>
      <c r="K249" s="269">
        <v>11694.13</v>
      </c>
      <c r="L249" s="170">
        <f t="shared" si="8"/>
        <v>0.69487854162729512</v>
      </c>
      <c r="M249" s="377">
        <v>26.52037495019956</v>
      </c>
      <c r="N249" s="166">
        <v>0</v>
      </c>
      <c r="O249" s="397">
        <v>0</v>
      </c>
      <c r="P249" s="269">
        <v>2323</v>
      </c>
      <c r="Q249" s="15">
        <v>241</v>
      </c>
      <c r="R249" s="158">
        <v>0.1037451571244081</v>
      </c>
      <c r="S249" s="401">
        <v>0.74228151047863067</v>
      </c>
      <c r="T249" s="153">
        <v>394</v>
      </c>
      <c r="U249" s="197">
        <v>355382.33194457245</v>
      </c>
      <c r="V249" s="159">
        <v>0</v>
      </c>
      <c r="W249" s="159">
        <v>0</v>
      </c>
      <c r="X249" s="159">
        <v>345366.44999999995</v>
      </c>
      <c r="Y249" s="159">
        <v>6726702.7999999998</v>
      </c>
      <c r="Z249" s="159">
        <v>0</v>
      </c>
      <c r="AA249" s="155">
        <v>0</v>
      </c>
      <c r="AB249" s="159">
        <v>170940.63256459264</v>
      </c>
      <c r="AC249" s="159">
        <v>332764.52</v>
      </c>
      <c r="AD249" s="174">
        <f>SUM(Muut[[#This Row],[Työttömyysaste]:[Työttömät ja palveluissa olevat ]])</f>
        <v>7931156.7345091645</v>
      </c>
      <c r="AF249" s="62"/>
    </row>
    <row r="250" spans="1:32" s="45" customFormat="1">
      <c r="A250" s="90">
        <v>759</v>
      </c>
      <c r="B250" s="151" t="s">
        <v>249</v>
      </c>
      <c r="C250" s="395">
        <v>1873</v>
      </c>
      <c r="D250" s="134">
        <v>50.333333333333336</v>
      </c>
      <c r="E250" s="41">
        <v>779</v>
      </c>
      <c r="F250" s="332">
        <f t="shared" si="7"/>
        <v>6.461275139067181E-2</v>
      </c>
      <c r="G250" s="377">
        <f>Muut[[#This Row],[Keskim. työttömyysaste 2023, %]]/$F$12</f>
        <v>0.6575568800511945</v>
      </c>
      <c r="H250" s="166">
        <v>0</v>
      </c>
      <c r="I250" s="383">
        <v>2</v>
      </c>
      <c r="J250" s="389">
        <v>26</v>
      </c>
      <c r="K250" s="269">
        <v>551.95000000000005</v>
      </c>
      <c r="L250" s="170">
        <f t="shared" si="8"/>
        <v>3.3934233173294679</v>
      </c>
      <c r="M250" s="377">
        <v>5.4306338306493407</v>
      </c>
      <c r="N250" s="166">
        <v>0</v>
      </c>
      <c r="O250" s="397">
        <v>0</v>
      </c>
      <c r="P250" s="269">
        <v>418</v>
      </c>
      <c r="Q250" s="15">
        <v>59</v>
      </c>
      <c r="R250" s="158">
        <v>0.14114832535885166</v>
      </c>
      <c r="S250" s="401">
        <v>1.0098957392609509</v>
      </c>
      <c r="T250" s="153">
        <v>85</v>
      </c>
      <c r="U250" s="197">
        <v>85029.942668629665</v>
      </c>
      <c r="V250" s="159">
        <v>0</v>
      </c>
      <c r="W250" s="159">
        <v>0</v>
      </c>
      <c r="X250" s="159">
        <v>46048.86</v>
      </c>
      <c r="Y250" s="159">
        <v>421001.57885132922</v>
      </c>
      <c r="Z250" s="159">
        <v>0</v>
      </c>
      <c r="AA250" s="155">
        <v>0</v>
      </c>
      <c r="AB250" s="159">
        <v>53606.093954477466</v>
      </c>
      <c r="AC250" s="159">
        <v>71789.3</v>
      </c>
      <c r="AD250" s="174">
        <f>SUM(Muut[[#This Row],[Työttömyysaste]:[Työttömät ja palveluissa olevat ]])</f>
        <v>677475.77547443635</v>
      </c>
      <c r="AF250" s="62"/>
    </row>
    <row r="251" spans="1:32" s="45" customFormat="1">
      <c r="A251" s="90">
        <v>761</v>
      </c>
      <c r="B251" s="151" t="s">
        <v>250</v>
      </c>
      <c r="C251" s="395">
        <v>8410</v>
      </c>
      <c r="D251" s="134">
        <v>287.33333333333331</v>
      </c>
      <c r="E251" s="41">
        <v>3535</v>
      </c>
      <c r="F251" s="332">
        <f t="shared" si="7"/>
        <v>8.1282413955681282E-2</v>
      </c>
      <c r="G251" s="377">
        <f>Muut[[#This Row],[Keskim. työttömyysaste 2023, %]]/$F$12</f>
        <v>0.82720220658245724</v>
      </c>
      <c r="H251" s="166">
        <v>0</v>
      </c>
      <c r="I251" s="383">
        <v>44</v>
      </c>
      <c r="J251" s="389">
        <v>456</v>
      </c>
      <c r="K251" s="269">
        <v>668.06</v>
      </c>
      <c r="L251" s="170">
        <f t="shared" si="8"/>
        <v>12.588689638655211</v>
      </c>
      <c r="M251" s="377">
        <v>1.4638886173042822</v>
      </c>
      <c r="N251" s="166">
        <v>0</v>
      </c>
      <c r="O251" s="397">
        <v>0</v>
      </c>
      <c r="P251" s="269">
        <v>2174</v>
      </c>
      <c r="Q251" s="15">
        <v>370</v>
      </c>
      <c r="R251" s="158">
        <v>0.17019319227230911</v>
      </c>
      <c r="S251" s="401">
        <v>1.217707537727057</v>
      </c>
      <c r="T251" s="153">
        <v>452</v>
      </c>
      <c r="U251" s="197">
        <v>480295.43928002845</v>
      </c>
      <c r="V251" s="159">
        <v>0</v>
      </c>
      <c r="W251" s="159">
        <v>0</v>
      </c>
      <c r="X251" s="159">
        <v>807626.15999999992</v>
      </c>
      <c r="Y251" s="159">
        <v>509564.84240858589</v>
      </c>
      <c r="Z251" s="159">
        <v>0</v>
      </c>
      <c r="AA251" s="155">
        <v>0</v>
      </c>
      <c r="AB251" s="159">
        <v>290227.68391734414</v>
      </c>
      <c r="AC251" s="159">
        <v>381750.16000000003</v>
      </c>
      <c r="AD251" s="174">
        <f>SUM(Muut[[#This Row],[Työttömyysaste]:[Työttömät ja palveluissa olevat ]])</f>
        <v>2469464.2856059582</v>
      </c>
      <c r="AF251" s="62"/>
    </row>
    <row r="252" spans="1:32" s="45" customFormat="1">
      <c r="A252" s="90">
        <v>762</v>
      </c>
      <c r="B252" s="151" t="s">
        <v>251</v>
      </c>
      <c r="C252" s="395">
        <v>3637</v>
      </c>
      <c r="D252" s="134">
        <v>157.33333333333334</v>
      </c>
      <c r="E252" s="41">
        <v>1494</v>
      </c>
      <c r="F252" s="332">
        <f t="shared" si="7"/>
        <v>0.10531012940651495</v>
      </c>
      <c r="G252" s="377">
        <f>Muut[[#This Row],[Keskim. työttömyysaste 2023, %]]/$F$12</f>
        <v>1.0717296298317489</v>
      </c>
      <c r="H252" s="166">
        <v>0</v>
      </c>
      <c r="I252" s="383">
        <v>3</v>
      </c>
      <c r="J252" s="389">
        <v>45</v>
      </c>
      <c r="K252" s="269">
        <v>1465.94</v>
      </c>
      <c r="L252" s="170">
        <f t="shared" si="8"/>
        <v>2.4810019509666152</v>
      </c>
      <c r="M252" s="377">
        <v>7.427821433846062</v>
      </c>
      <c r="N252" s="166">
        <v>0</v>
      </c>
      <c r="O252" s="397">
        <v>0</v>
      </c>
      <c r="P252" s="269">
        <v>853</v>
      </c>
      <c r="Q252" s="15">
        <v>119</v>
      </c>
      <c r="R252" s="158">
        <v>0.1395076201641266</v>
      </c>
      <c r="S252" s="401">
        <v>0.99815673221766088</v>
      </c>
      <c r="T252" s="153">
        <v>225</v>
      </c>
      <c r="U252" s="197">
        <v>269109.68102171482</v>
      </c>
      <c r="V252" s="159">
        <v>0</v>
      </c>
      <c r="W252" s="159">
        <v>0</v>
      </c>
      <c r="X252" s="159">
        <v>79699.95</v>
      </c>
      <c r="Y252" s="159">
        <v>1118150.2935072335</v>
      </c>
      <c r="Z252" s="159">
        <v>0</v>
      </c>
      <c r="AA252" s="155">
        <v>0</v>
      </c>
      <c r="AB252" s="159">
        <v>102882.58963404343</v>
      </c>
      <c r="AC252" s="159">
        <v>190030.5</v>
      </c>
      <c r="AD252" s="174">
        <f>SUM(Muut[[#This Row],[Työttömyysaste]:[Työttömät ja palveluissa olevat ]])</f>
        <v>1759873.0141629917</v>
      </c>
      <c r="AF252" s="62"/>
    </row>
    <row r="253" spans="1:32" s="45" customFormat="1">
      <c r="A253" s="90">
        <v>765</v>
      </c>
      <c r="B253" s="151" t="s">
        <v>252</v>
      </c>
      <c r="C253" s="395">
        <v>10274</v>
      </c>
      <c r="D253" s="134">
        <v>256.91666666666669</v>
      </c>
      <c r="E253" s="41">
        <v>4706</v>
      </c>
      <c r="F253" s="332">
        <f t="shared" si="7"/>
        <v>5.4593426830995898E-2</v>
      </c>
      <c r="G253" s="377">
        <f>Muut[[#This Row],[Keskim. työttömyysaste 2023, %]]/$F$12</f>
        <v>0.55559131356655855</v>
      </c>
      <c r="H253" s="166">
        <v>0</v>
      </c>
      <c r="I253" s="383">
        <v>18</v>
      </c>
      <c r="J253" s="389">
        <v>497</v>
      </c>
      <c r="K253" s="269">
        <v>2648.9</v>
      </c>
      <c r="L253" s="170">
        <f t="shared" si="8"/>
        <v>3.8785911132923099</v>
      </c>
      <c r="M253" s="377">
        <v>4.7513230785394374</v>
      </c>
      <c r="N253" s="166">
        <v>0</v>
      </c>
      <c r="O253" s="397">
        <v>0</v>
      </c>
      <c r="P253" s="269">
        <v>3024</v>
      </c>
      <c r="Q253" s="15">
        <v>331</v>
      </c>
      <c r="R253" s="158">
        <v>0.10945767195767196</v>
      </c>
      <c r="S253" s="401">
        <v>0.78315372327967592</v>
      </c>
      <c r="T253" s="153">
        <v>465</v>
      </c>
      <c r="U253" s="197">
        <v>394090.34154143813</v>
      </c>
      <c r="V253" s="159">
        <v>0</v>
      </c>
      <c r="W253" s="159">
        <v>0</v>
      </c>
      <c r="X253" s="159">
        <v>880241.66999999993</v>
      </c>
      <c r="Y253" s="159">
        <v>2020456.7120559579</v>
      </c>
      <c r="Z253" s="159">
        <v>0</v>
      </c>
      <c r="AA253" s="155">
        <v>0</v>
      </c>
      <c r="AB253" s="159">
        <v>228027.07914332257</v>
      </c>
      <c r="AC253" s="159">
        <v>392729.7</v>
      </c>
      <c r="AD253" s="174">
        <f>SUM(Muut[[#This Row],[Työttömyysaste]:[Työttömät ja palveluissa olevat ]])</f>
        <v>3915545.5027407189</v>
      </c>
      <c r="AF253" s="62"/>
    </row>
    <row r="254" spans="1:32" s="45" customFormat="1">
      <c r="A254" s="90">
        <v>768</v>
      </c>
      <c r="B254" s="151" t="s">
        <v>253</v>
      </c>
      <c r="C254" s="395">
        <v>2368</v>
      </c>
      <c r="D254" s="134">
        <v>75.833333333333329</v>
      </c>
      <c r="E254" s="41">
        <v>910</v>
      </c>
      <c r="F254" s="332">
        <f t="shared" si="7"/>
        <v>8.3333333333333329E-2</v>
      </c>
      <c r="G254" s="377">
        <f>Muut[[#This Row],[Keskim. työttömyysaste 2023, %]]/$F$12</f>
        <v>0.84807418801304701</v>
      </c>
      <c r="H254" s="166">
        <v>0</v>
      </c>
      <c r="I254" s="383">
        <v>4</v>
      </c>
      <c r="J254" s="389">
        <v>97</v>
      </c>
      <c r="K254" s="269">
        <v>584.38</v>
      </c>
      <c r="L254" s="170">
        <f t="shared" si="8"/>
        <v>4.0521578424997431</v>
      </c>
      <c r="M254" s="377">
        <v>4.5478088922210809</v>
      </c>
      <c r="N254" s="166">
        <v>1</v>
      </c>
      <c r="O254" s="397">
        <v>0</v>
      </c>
      <c r="P254" s="269">
        <v>508</v>
      </c>
      <c r="Q254" s="15">
        <v>62</v>
      </c>
      <c r="R254" s="158">
        <v>0.12204724409448819</v>
      </c>
      <c r="S254" s="401">
        <v>0.87323028088505295</v>
      </c>
      <c r="T254" s="153">
        <v>116</v>
      </c>
      <c r="U254" s="197">
        <v>138648.86731491637</v>
      </c>
      <c r="V254" s="159">
        <v>0</v>
      </c>
      <c r="W254" s="159">
        <v>0</v>
      </c>
      <c r="X254" s="159">
        <v>171797.66999999998</v>
      </c>
      <c r="Y254" s="159">
        <v>445737.6621961043</v>
      </c>
      <c r="Z254" s="159">
        <v>955109.12</v>
      </c>
      <c r="AA254" s="155">
        <v>0</v>
      </c>
      <c r="AB254" s="159">
        <v>58601.715707548727</v>
      </c>
      <c r="AC254" s="159">
        <v>97971.28</v>
      </c>
      <c r="AD254" s="174">
        <f>SUM(Muut[[#This Row],[Työttömyysaste]:[Työttömät ja palveluissa olevat ]])</f>
        <v>1867866.3152185692</v>
      </c>
      <c r="AF254" s="62"/>
    </row>
    <row r="255" spans="1:32" s="45" customFormat="1">
      <c r="A255" s="90">
        <v>777</v>
      </c>
      <c r="B255" s="151" t="s">
        <v>254</v>
      </c>
      <c r="C255" s="395">
        <v>7172</v>
      </c>
      <c r="D255" s="134">
        <v>311.83333333333331</v>
      </c>
      <c r="E255" s="41">
        <v>2874</v>
      </c>
      <c r="F255" s="332">
        <f t="shared" si="7"/>
        <v>0.10850150777081882</v>
      </c>
      <c r="G255" s="377">
        <f>Muut[[#This Row],[Keskim. työttömyysaste 2023, %]]/$F$12</f>
        <v>1.104207937211142</v>
      </c>
      <c r="H255" s="166">
        <v>0</v>
      </c>
      <c r="I255" s="383">
        <v>5</v>
      </c>
      <c r="J255" s="389">
        <v>230</v>
      </c>
      <c r="K255" s="269">
        <v>5270.37</v>
      </c>
      <c r="L255" s="170">
        <f t="shared" si="8"/>
        <v>1.360815274828902</v>
      </c>
      <c r="M255" s="377">
        <v>13.542205036698141</v>
      </c>
      <c r="N255" s="166">
        <v>0</v>
      </c>
      <c r="O255" s="397">
        <v>0</v>
      </c>
      <c r="P255" s="269">
        <v>1595</v>
      </c>
      <c r="Q255" s="15">
        <v>215</v>
      </c>
      <c r="R255" s="158">
        <v>0.13479623824451412</v>
      </c>
      <c r="S255" s="401">
        <v>0.96444747980852952</v>
      </c>
      <c r="T255" s="153">
        <v>451</v>
      </c>
      <c r="U255" s="197">
        <v>546753.94864483061</v>
      </c>
      <c r="V255" s="159">
        <v>0</v>
      </c>
      <c r="W255" s="159">
        <v>0</v>
      </c>
      <c r="X255" s="159">
        <v>407355.3</v>
      </c>
      <c r="Y255" s="159">
        <v>4019991.1063152095</v>
      </c>
      <c r="Z255" s="159">
        <v>0</v>
      </c>
      <c r="AA255" s="155">
        <v>0</v>
      </c>
      <c r="AB255" s="159">
        <v>196028.27099579317</v>
      </c>
      <c r="AC255" s="159">
        <v>380905.58</v>
      </c>
      <c r="AD255" s="174">
        <f>SUM(Muut[[#This Row],[Työttömyysaste]:[Työttömät ja palveluissa olevat ]])</f>
        <v>5551034.2059558332</v>
      </c>
      <c r="AF255" s="62"/>
    </row>
    <row r="256" spans="1:32" s="104" customFormat="1">
      <c r="A256" s="90">
        <v>778</v>
      </c>
      <c r="B256" s="151" t="s">
        <v>255</v>
      </c>
      <c r="C256" s="395">
        <v>6708</v>
      </c>
      <c r="D256" s="134">
        <v>248.75</v>
      </c>
      <c r="E256" s="41">
        <v>2816</v>
      </c>
      <c r="F256" s="332">
        <f t="shared" si="7"/>
        <v>8.8334517045454544E-2</v>
      </c>
      <c r="G256" s="377">
        <f>Muut[[#This Row],[Keskim. työttömyysaste 2023, %]]/$F$12</f>
        <v>0.89897068580218231</v>
      </c>
      <c r="H256" s="166">
        <v>0</v>
      </c>
      <c r="I256" s="383">
        <v>12</v>
      </c>
      <c r="J256" s="389">
        <v>246</v>
      </c>
      <c r="K256" s="269">
        <v>713.56</v>
      </c>
      <c r="L256" s="170">
        <f t="shared" si="8"/>
        <v>9.400751163181793</v>
      </c>
      <c r="M256" s="377">
        <v>1.9603156331782323</v>
      </c>
      <c r="N256" s="166">
        <v>0</v>
      </c>
      <c r="O256" s="397">
        <v>0</v>
      </c>
      <c r="P256" s="269">
        <v>1815</v>
      </c>
      <c r="Q256" s="15">
        <v>236</v>
      </c>
      <c r="R256" s="158">
        <v>0.13002754820936638</v>
      </c>
      <c r="S256" s="401">
        <v>0.93032819616766382</v>
      </c>
      <c r="T256" s="153">
        <v>360</v>
      </c>
      <c r="U256" s="197">
        <v>416331.5916793262</v>
      </c>
      <c r="V256" s="159">
        <v>0</v>
      </c>
      <c r="W256" s="159">
        <v>0</v>
      </c>
      <c r="X256" s="159">
        <v>435693.06</v>
      </c>
      <c r="Y256" s="159">
        <v>544270.10889601312</v>
      </c>
      <c r="Z256" s="159">
        <v>0</v>
      </c>
      <c r="AA256" s="155">
        <v>0</v>
      </c>
      <c r="AB256" s="159">
        <v>176859.7812405588</v>
      </c>
      <c r="AC256" s="159">
        <v>304048.8</v>
      </c>
      <c r="AD256" s="174">
        <f>SUM(Muut[[#This Row],[Työttömyysaste]:[Työttömät ja palveluissa olevat ]])</f>
        <v>1877203.341815898</v>
      </c>
      <c r="AF256" s="351"/>
    </row>
    <row r="257" spans="1:32" s="45" customFormat="1">
      <c r="A257" s="90">
        <v>781</v>
      </c>
      <c r="B257" s="151" t="s">
        <v>256</v>
      </c>
      <c r="C257" s="395">
        <v>3496</v>
      </c>
      <c r="D257" s="134">
        <v>123.91666666666667</v>
      </c>
      <c r="E257" s="41">
        <v>1272</v>
      </c>
      <c r="F257" s="332">
        <f t="shared" si="7"/>
        <v>9.7418763102725375E-2</v>
      </c>
      <c r="G257" s="377">
        <f>Muut[[#This Row],[Keskim. työttömyysaste 2023, %]]/$F$12</f>
        <v>0.99142006098695057</v>
      </c>
      <c r="H257" s="166">
        <v>0</v>
      </c>
      <c r="I257" s="383">
        <v>9</v>
      </c>
      <c r="J257" s="389">
        <v>105</v>
      </c>
      <c r="K257" s="269">
        <v>666.75</v>
      </c>
      <c r="L257" s="170">
        <f t="shared" si="8"/>
        <v>5.2433445819272588</v>
      </c>
      <c r="M257" s="377">
        <v>3.5146344438858357</v>
      </c>
      <c r="N257" s="166">
        <v>0</v>
      </c>
      <c r="O257" s="397">
        <v>0</v>
      </c>
      <c r="P257" s="269">
        <v>669</v>
      </c>
      <c r="Q257" s="15">
        <v>114</v>
      </c>
      <c r="R257" s="158">
        <v>0.17040358744394618</v>
      </c>
      <c r="S257" s="401">
        <v>1.2192128845801433</v>
      </c>
      <c r="T257" s="153">
        <v>180</v>
      </c>
      <c r="U257" s="197">
        <v>239292.95297284459</v>
      </c>
      <c r="V257" s="159">
        <v>0</v>
      </c>
      <c r="W257" s="159">
        <v>0</v>
      </c>
      <c r="X257" s="159">
        <v>185966.55</v>
      </c>
      <c r="Y257" s="159">
        <v>508565.63583499182</v>
      </c>
      <c r="Z257" s="159">
        <v>0</v>
      </c>
      <c r="AA257" s="155">
        <v>0</v>
      </c>
      <c r="AB257" s="159">
        <v>120795.51604890842</v>
      </c>
      <c r="AC257" s="159">
        <v>152024.4</v>
      </c>
      <c r="AD257" s="174">
        <f>SUM(Muut[[#This Row],[Työttömyysaste]:[Työttömät ja palveluissa olevat ]])</f>
        <v>1206645.0548567448</v>
      </c>
      <c r="AF257" s="62"/>
    </row>
    <row r="258" spans="1:32" s="45" customFormat="1">
      <c r="A258" s="151">
        <v>783</v>
      </c>
      <c r="B258" s="151" t="s">
        <v>257</v>
      </c>
      <c r="C258" s="395">
        <v>6377</v>
      </c>
      <c r="D258" s="134">
        <v>161.25</v>
      </c>
      <c r="E258" s="41">
        <v>2875</v>
      </c>
      <c r="F258" s="332">
        <f t="shared" si="7"/>
        <v>5.6086956521739131E-2</v>
      </c>
      <c r="G258" s="377">
        <f>Muut[[#This Row],[Keskim. työttömyysaste 2023, %]]/$F$12</f>
        <v>0.57079080132356386</v>
      </c>
      <c r="H258" s="166">
        <v>0</v>
      </c>
      <c r="I258" s="383">
        <v>18</v>
      </c>
      <c r="J258" s="389">
        <v>305</v>
      </c>
      <c r="K258" s="269">
        <v>406.85</v>
      </c>
      <c r="L258" s="170">
        <f t="shared" si="8"/>
        <v>15.674081356765392</v>
      </c>
      <c r="M258" s="377">
        <v>1.1757269245543036</v>
      </c>
      <c r="N258" s="166">
        <v>0</v>
      </c>
      <c r="O258" s="397">
        <v>0</v>
      </c>
      <c r="P258" s="269">
        <v>1696</v>
      </c>
      <c r="Q258" s="15">
        <v>266</v>
      </c>
      <c r="R258" s="158">
        <v>0.15683962264150944</v>
      </c>
      <c r="S258" s="401">
        <v>1.1221646891683985</v>
      </c>
      <c r="T258" s="153">
        <v>253</v>
      </c>
      <c r="U258" s="197">
        <v>251300.97018038694</v>
      </c>
      <c r="V258" s="159">
        <v>0</v>
      </c>
      <c r="W258" s="159">
        <v>0</v>
      </c>
      <c r="X258" s="159">
        <v>540188.54999999993</v>
      </c>
      <c r="Y258" s="159">
        <v>310326.10264636885</v>
      </c>
      <c r="Z258" s="159">
        <v>0</v>
      </c>
      <c r="AA258" s="155">
        <v>0</v>
      </c>
      <c r="AB258" s="159">
        <v>202802.29327491371</v>
      </c>
      <c r="AC258" s="159">
        <v>213678.74000000002</v>
      </c>
      <c r="AD258" s="174">
        <f>SUM(Muut[[#This Row],[Työttömyysaste]:[Työttömät ja palveluissa olevat ]])</f>
        <v>1518296.6561016694</v>
      </c>
      <c r="AF258" s="62"/>
    </row>
    <row r="259" spans="1:32" s="45" customFormat="1">
      <c r="A259" s="90">
        <v>785</v>
      </c>
      <c r="B259" s="151" t="s">
        <v>258</v>
      </c>
      <c r="C259" s="395">
        <v>2589</v>
      </c>
      <c r="D259" s="134">
        <v>139.58333333333334</v>
      </c>
      <c r="E259" s="41">
        <v>999</v>
      </c>
      <c r="F259" s="332">
        <f t="shared" si="7"/>
        <v>0.13972305638972307</v>
      </c>
      <c r="G259" s="377">
        <f>Muut[[#This Row],[Keskim. työttömyysaste 2023, %]]/$F$12</f>
        <v>1.421946211132987</v>
      </c>
      <c r="H259" s="166">
        <v>0</v>
      </c>
      <c r="I259" s="383">
        <v>0</v>
      </c>
      <c r="J259" s="389">
        <v>66</v>
      </c>
      <c r="K259" s="269">
        <v>1302.31</v>
      </c>
      <c r="L259" s="170">
        <f t="shared" si="8"/>
        <v>1.9880059279280664</v>
      </c>
      <c r="M259" s="377">
        <v>9.2698111257697065</v>
      </c>
      <c r="N259" s="166">
        <v>3</v>
      </c>
      <c r="O259" s="397">
        <v>76</v>
      </c>
      <c r="P259" s="269">
        <v>537</v>
      </c>
      <c r="Q259" s="15">
        <v>65</v>
      </c>
      <c r="R259" s="158">
        <v>0.12104283054003724</v>
      </c>
      <c r="S259" s="401">
        <v>0.86604384798535605</v>
      </c>
      <c r="T259" s="153">
        <v>205</v>
      </c>
      <c r="U259" s="197">
        <v>254165.14985263289</v>
      </c>
      <c r="V259" s="159">
        <v>0</v>
      </c>
      <c r="W259" s="159">
        <v>0</v>
      </c>
      <c r="X259" s="159">
        <v>116893.26</v>
      </c>
      <c r="Y259" s="159">
        <v>993341.00218112953</v>
      </c>
      <c r="Z259" s="159">
        <v>0</v>
      </c>
      <c r="AA259" s="155">
        <v>22423.040000000001</v>
      </c>
      <c r="AB259" s="159">
        <v>63543.594385782024</v>
      </c>
      <c r="AC259" s="159">
        <v>173138.9</v>
      </c>
      <c r="AD259" s="174">
        <f>SUM(Muut[[#This Row],[Työttömyysaste]:[Työttömät ja palveluissa olevat ]])</f>
        <v>1623504.9464195443</v>
      </c>
      <c r="AF259" s="62"/>
    </row>
    <row r="260" spans="1:32" s="45" customFormat="1">
      <c r="A260" s="90">
        <v>790</v>
      </c>
      <c r="B260" s="151" t="s">
        <v>259</v>
      </c>
      <c r="C260" s="395">
        <v>23515</v>
      </c>
      <c r="D260" s="134">
        <v>728.33333333333337</v>
      </c>
      <c r="E260" s="41">
        <v>10024</v>
      </c>
      <c r="F260" s="332">
        <f t="shared" si="7"/>
        <v>7.2658951848895981E-2</v>
      </c>
      <c r="G260" s="377">
        <f>Muut[[#This Row],[Keskim. työttömyysaste 2023, %]]/$F$12</f>
        <v>0.73944217909357857</v>
      </c>
      <c r="H260" s="166">
        <v>0</v>
      </c>
      <c r="I260" s="383">
        <v>43</v>
      </c>
      <c r="J260" s="389">
        <v>744</v>
      </c>
      <c r="K260" s="269">
        <v>1429.12</v>
      </c>
      <c r="L260" s="170">
        <f t="shared" si="8"/>
        <v>16.454181594267801</v>
      </c>
      <c r="M260" s="377">
        <v>1.1199851760007133</v>
      </c>
      <c r="N260" s="166">
        <v>0</v>
      </c>
      <c r="O260" s="397">
        <v>0</v>
      </c>
      <c r="P260" s="269">
        <v>6474</v>
      </c>
      <c r="Q260" s="15">
        <v>892</v>
      </c>
      <c r="R260" s="158">
        <v>0.1377818968180414</v>
      </c>
      <c r="S260" s="401">
        <v>0.9858094326664707</v>
      </c>
      <c r="T260" s="153">
        <v>1147</v>
      </c>
      <c r="U260" s="197">
        <v>1200466.3353692549</v>
      </c>
      <c r="V260" s="159">
        <v>0</v>
      </c>
      <c r="W260" s="159">
        <v>0</v>
      </c>
      <c r="X260" s="159">
        <v>1317705.8399999999</v>
      </c>
      <c r="Y260" s="159">
        <v>1090065.7240112538</v>
      </c>
      <c r="Z260" s="159">
        <v>0</v>
      </c>
      <c r="AA260" s="155">
        <v>0</v>
      </c>
      <c r="AB260" s="159">
        <v>656958.29165136931</v>
      </c>
      <c r="AC260" s="159">
        <v>968733.26</v>
      </c>
      <c r="AD260" s="174">
        <f>SUM(Muut[[#This Row],[Työttömyysaste]:[Työttömät ja palveluissa olevat ]])</f>
        <v>5233929.4510318777</v>
      </c>
      <c r="AF260" s="62"/>
    </row>
    <row r="261" spans="1:32" s="45" customFormat="1">
      <c r="A261" s="90">
        <v>791</v>
      </c>
      <c r="B261" s="151" t="s">
        <v>260</v>
      </c>
      <c r="C261" s="395">
        <v>4931</v>
      </c>
      <c r="D261" s="134">
        <v>206.66666666666666</v>
      </c>
      <c r="E261" s="41">
        <v>2105</v>
      </c>
      <c r="F261" s="332">
        <f t="shared" si="7"/>
        <v>9.8178939034045912E-2</v>
      </c>
      <c r="G261" s="377">
        <f>Muut[[#This Row],[Keskim. työttömyysaste 2023, %]]/$F$12</f>
        <v>0.99915628801537126</v>
      </c>
      <c r="H261" s="166">
        <v>0</v>
      </c>
      <c r="I261" s="383">
        <v>5</v>
      </c>
      <c r="J261" s="389">
        <v>86</v>
      </c>
      <c r="K261" s="269">
        <v>2173.3000000000002</v>
      </c>
      <c r="L261" s="170">
        <f t="shared" si="8"/>
        <v>2.26889982975199</v>
      </c>
      <c r="M261" s="377">
        <v>8.1221917455994976</v>
      </c>
      <c r="N261" s="166">
        <v>0</v>
      </c>
      <c r="O261" s="397">
        <v>0</v>
      </c>
      <c r="P261" s="269">
        <v>1249</v>
      </c>
      <c r="Q261" s="15">
        <v>173</v>
      </c>
      <c r="R261" s="158">
        <v>0.13851080864691753</v>
      </c>
      <c r="S261" s="401">
        <v>0.99102469078878574</v>
      </c>
      <c r="T261" s="153">
        <v>271</v>
      </c>
      <c r="U261" s="197">
        <v>340149.00986431009</v>
      </c>
      <c r="V261" s="159">
        <v>0</v>
      </c>
      <c r="W261" s="159">
        <v>0</v>
      </c>
      <c r="X261" s="159">
        <v>152315.46</v>
      </c>
      <c r="Y261" s="159">
        <v>1657691.3331236409</v>
      </c>
      <c r="Z261" s="159">
        <v>0</v>
      </c>
      <c r="AA261" s="155">
        <v>0</v>
      </c>
      <c r="AB261" s="159">
        <v>138490.28954292109</v>
      </c>
      <c r="AC261" s="159">
        <v>228881.18000000002</v>
      </c>
      <c r="AD261" s="174">
        <f>SUM(Muut[[#This Row],[Työttömyysaste]:[Työttömät ja palveluissa olevat ]])</f>
        <v>2517527.2725308719</v>
      </c>
      <c r="AF261" s="62"/>
    </row>
    <row r="262" spans="1:32" s="45" customFormat="1">
      <c r="A262" s="90">
        <v>831</v>
      </c>
      <c r="B262" s="151" t="s">
        <v>261</v>
      </c>
      <c r="C262" s="395">
        <v>4625</v>
      </c>
      <c r="D262" s="134">
        <v>175.08333333333334</v>
      </c>
      <c r="E262" s="41">
        <v>2078</v>
      </c>
      <c r="F262" s="332">
        <f t="shared" si="7"/>
        <v>8.4255694578119988E-2</v>
      </c>
      <c r="G262" s="377">
        <f>Muut[[#This Row],[Keskim. työttömyysaste 2023, %]]/$F$12</f>
        <v>0.85746095717777282</v>
      </c>
      <c r="H262" s="166">
        <v>0</v>
      </c>
      <c r="I262" s="383">
        <v>8</v>
      </c>
      <c r="J262" s="389">
        <v>308</v>
      </c>
      <c r="K262" s="269">
        <v>344.79</v>
      </c>
      <c r="L262" s="170">
        <f t="shared" si="8"/>
        <v>13.413962121871283</v>
      </c>
      <c r="M262" s="377">
        <v>1.3738252204213699</v>
      </c>
      <c r="N262" s="166">
        <v>3</v>
      </c>
      <c r="O262" s="397">
        <v>2070</v>
      </c>
      <c r="P262" s="269">
        <v>1356</v>
      </c>
      <c r="Q262" s="15">
        <v>98</v>
      </c>
      <c r="R262" s="158">
        <v>7.2271386430678472E-2</v>
      </c>
      <c r="S262" s="401">
        <v>0.51709125872563366</v>
      </c>
      <c r="T262" s="153">
        <v>257</v>
      </c>
      <c r="U262" s="197">
        <v>273795.85823643464</v>
      </c>
      <c r="V262" s="159">
        <v>0</v>
      </c>
      <c r="W262" s="159">
        <v>0</v>
      </c>
      <c r="X262" s="159">
        <v>545501.88</v>
      </c>
      <c r="Y262" s="159">
        <v>262989.64466373733</v>
      </c>
      <c r="Z262" s="159">
        <v>0</v>
      </c>
      <c r="AA262" s="155">
        <v>610732.80000000005</v>
      </c>
      <c r="AB262" s="159">
        <v>67776.444009315615</v>
      </c>
      <c r="AC262" s="159">
        <v>217057.06</v>
      </c>
      <c r="AD262" s="174">
        <f>SUM(Muut[[#This Row],[Työttömyysaste]:[Työttömät ja palveluissa olevat ]])</f>
        <v>1977853.6869094877</v>
      </c>
      <c r="AF262" s="62"/>
    </row>
    <row r="263" spans="1:32" s="45" customFormat="1">
      <c r="A263" s="90">
        <v>832</v>
      </c>
      <c r="B263" s="151" t="s">
        <v>262</v>
      </c>
      <c r="C263" s="395">
        <v>3731</v>
      </c>
      <c r="D263" s="134">
        <v>193.66666666666666</v>
      </c>
      <c r="E263" s="41">
        <v>1586</v>
      </c>
      <c r="F263" s="332">
        <f t="shared" si="7"/>
        <v>0.12211013030685161</v>
      </c>
      <c r="G263" s="377">
        <f>Muut[[#This Row],[Keskim. työttömyysaste 2023, %]]/$F$12</f>
        <v>1.2427013952978065</v>
      </c>
      <c r="H263" s="166">
        <v>0</v>
      </c>
      <c r="I263" s="383">
        <v>3</v>
      </c>
      <c r="J263" s="389">
        <v>91</v>
      </c>
      <c r="K263" s="269">
        <v>2438.21</v>
      </c>
      <c r="L263" s="170">
        <f t="shared" si="8"/>
        <v>1.5302209407721239</v>
      </c>
      <c r="M263" s="377">
        <v>12.042992601777517</v>
      </c>
      <c r="N263" s="166">
        <v>0</v>
      </c>
      <c r="O263" s="397">
        <v>0</v>
      </c>
      <c r="P263" s="269">
        <v>857</v>
      </c>
      <c r="Q263" s="15">
        <v>112</v>
      </c>
      <c r="R263" s="158">
        <v>0.13068844807467911</v>
      </c>
      <c r="S263" s="401">
        <v>0.93505683858237598</v>
      </c>
      <c r="T263" s="153">
        <v>269</v>
      </c>
      <c r="U263" s="197">
        <v>320105.2652603063</v>
      </c>
      <c r="V263" s="159">
        <v>0</v>
      </c>
      <c r="W263" s="159">
        <v>0</v>
      </c>
      <c r="X263" s="159">
        <v>161171.00999999998</v>
      </c>
      <c r="Y263" s="159">
        <v>1859752.2593914291</v>
      </c>
      <c r="Z263" s="159">
        <v>0</v>
      </c>
      <c r="AA263" s="155">
        <v>0</v>
      </c>
      <c r="AB263" s="159">
        <v>98869.674815038932</v>
      </c>
      <c r="AC263" s="159">
        <v>227192.02000000002</v>
      </c>
      <c r="AD263" s="174">
        <f>SUM(Muut[[#This Row],[Työttömyysaste]:[Työttömät ja palveluissa olevat ]])</f>
        <v>2667090.2294667745</v>
      </c>
      <c r="AF263" s="62"/>
    </row>
    <row r="264" spans="1:32" s="45" customFormat="1">
      <c r="A264" s="90">
        <v>833</v>
      </c>
      <c r="B264" s="151" t="s">
        <v>263</v>
      </c>
      <c r="C264" s="395">
        <v>1705</v>
      </c>
      <c r="D264" s="134">
        <v>61.583333333333336</v>
      </c>
      <c r="E264" s="41">
        <v>694</v>
      </c>
      <c r="F264" s="332">
        <f t="shared" si="7"/>
        <v>8.8736791546589824E-2</v>
      </c>
      <c r="G264" s="377">
        <f>Muut[[#This Row],[Keskim. työttömyysaste 2023, %]]/$F$12</f>
        <v>0.90306458925308619</v>
      </c>
      <c r="H264" s="166">
        <v>0</v>
      </c>
      <c r="I264" s="383">
        <v>18</v>
      </c>
      <c r="J264" s="389">
        <v>115</v>
      </c>
      <c r="K264" s="269">
        <v>140.62</v>
      </c>
      <c r="L264" s="170">
        <f t="shared" si="8"/>
        <v>12.124875551130707</v>
      </c>
      <c r="M264" s="377">
        <v>1.5198868962481988</v>
      </c>
      <c r="N264" s="166">
        <v>3</v>
      </c>
      <c r="O264" s="397">
        <v>182</v>
      </c>
      <c r="P264" s="269">
        <v>454</v>
      </c>
      <c r="Q264" s="15">
        <v>85</v>
      </c>
      <c r="R264" s="158">
        <v>0.18722466960352424</v>
      </c>
      <c r="S264" s="401">
        <v>1.339565280965489</v>
      </c>
      <c r="T264" s="153">
        <v>79</v>
      </c>
      <c r="U264" s="197">
        <v>106302.6226076664</v>
      </c>
      <c r="V264" s="159">
        <v>0</v>
      </c>
      <c r="W264" s="159">
        <v>0</v>
      </c>
      <c r="X264" s="159">
        <v>203677.65</v>
      </c>
      <c r="Y264" s="159">
        <v>107258.34227389058</v>
      </c>
      <c r="Z264" s="159">
        <v>0</v>
      </c>
      <c r="AA264" s="155">
        <v>53697.280000000006</v>
      </c>
      <c r="AB264" s="159">
        <v>64727.392506668133</v>
      </c>
      <c r="AC264" s="159">
        <v>66721.820000000007</v>
      </c>
      <c r="AD264" s="174">
        <f>SUM(Muut[[#This Row],[Työttömyysaste]:[Työttömät ja palveluissa olevat ]])</f>
        <v>602385.10738822515</v>
      </c>
      <c r="AF264" s="62"/>
    </row>
    <row r="265" spans="1:32" s="45" customFormat="1">
      <c r="A265" s="90">
        <v>834</v>
      </c>
      <c r="B265" s="151" t="s">
        <v>264</v>
      </c>
      <c r="C265" s="395">
        <v>5844</v>
      </c>
      <c r="D265" s="134">
        <v>175.66666666666666</v>
      </c>
      <c r="E265" s="41">
        <v>2725</v>
      </c>
      <c r="F265" s="332">
        <f t="shared" si="7"/>
        <v>6.4464831804281336E-2</v>
      </c>
      <c r="G265" s="377">
        <f>Muut[[#This Row],[Keskim. työttömyysaste 2023, %]]/$F$12</f>
        <v>0.65605151865376254</v>
      </c>
      <c r="H265" s="166">
        <v>0</v>
      </c>
      <c r="I265" s="383">
        <v>11</v>
      </c>
      <c r="J265" s="389">
        <v>170</v>
      </c>
      <c r="K265" s="269">
        <v>640.54999999999995</v>
      </c>
      <c r="L265" s="170">
        <f t="shared" si="8"/>
        <v>9.1234095699008666</v>
      </c>
      <c r="M265" s="377">
        <v>2.019907067375466</v>
      </c>
      <c r="N265" s="166">
        <v>0</v>
      </c>
      <c r="O265" s="397">
        <v>0</v>
      </c>
      <c r="P265" s="269">
        <v>1622</v>
      </c>
      <c r="Q265" s="15">
        <v>212</v>
      </c>
      <c r="R265" s="158">
        <v>0.13070283600493218</v>
      </c>
      <c r="S265" s="401">
        <v>0.93515978213074913</v>
      </c>
      <c r="T265" s="153">
        <v>248</v>
      </c>
      <c r="U265" s="197">
        <v>264696.94877886912</v>
      </c>
      <c r="V265" s="159">
        <v>0</v>
      </c>
      <c r="W265" s="159">
        <v>0</v>
      </c>
      <c r="X265" s="159">
        <v>301088.7</v>
      </c>
      <c r="Y265" s="159">
        <v>488581.50436311064</v>
      </c>
      <c r="Z265" s="159">
        <v>0</v>
      </c>
      <c r="AA265" s="155">
        <v>0</v>
      </c>
      <c r="AB265" s="159">
        <v>154880.19055032125</v>
      </c>
      <c r="AC265" s="159">
        <v>209455.84</v>
      </c>
      <c r="AD265" s="174">
        <f>SUM(Muut[[#This Row],[Työttömyysaste]:[Työttömät ja palveluissa olevat ]])</f>
        <v>1418703.1836923009</v>
      </c>
      <c r="AF265" s="62"/>
    </row>
    <row r="266" spans="1:32" s="45" customFormat="1">
      <c r="A266" s="90">
        <v>837</v>
      </c>
      <c r="B266" s="151" t="s">
        <v>265</v>
      </c>
      <c r="C266" s="395">
        <v>255050</v>
      </c>
      <c r="D266" s="134">
        <v>13448.583333333334</v>
      </c>
      <c r="E266" s="41">
        <v>123983</v>
      </c>
      <c r="F266" s="332">
        <f t="shared" si="7"/>
        <v>0.10847118825430369</v>
      </c>
      <c r="G266" s="377">
        <f>Muut[[#This Row],[Keskim. työttömyysaste 2023, %]]/$F$12</f>
        <v>1.1038993788189475</v>
      </c>
      <c r="H266" s="166">
        <v>0</v>
      </c>
      <c r="I266" s="383">
        <v>1377</v>
      </c>
      <c r="J266" s="389">
        <v>26649</v>
      </c>
      <c r="K266" s="269">
        <v>525.02</v>
      </c>
      <c r="L266" s="170">
        <f t="shared" si="8"/>
        <v>485.7910174850482</v>
      </c>
      <c r="M266" s="377">
        <v>3.7934911938487859E-2</v>
      </c>
      <c r="N266" s="166">
        <v>0</v>
      </c>
      <c r="O266" s="397">
        <v>0</v>
      </c>
      <c r="P266" s="269">
        <v>84742</v>
      </c>
      <c r="Q266" s="15">
        <v>9793</v>
      </c>
      <c r="R266" s="158">
        <v>0.11556253097637535</v>
      </c>
      <c r="S266" s="401">
        <v>0.82683310166481028</v>
      </c>
      <c r="T266" s="153">
        <v>20880</v>
      </c>
      <c r="U266" s="197">
        <v>19438180.004639018</v>
      </c>
      <c r="V266" s="159">
        <v>0</v>
      </c>
      <c r="W266" s="159">
        <v>0</v>
      </c>
      <c r="X266" s="159">
        <v>47198310.390000001</v>
      </c>
      <c r="Y266" s="159">
        <v>400460.63760942989</v>
      </c>
      <c r="Z266" s="159">
        <v>0</v>
      </c>
      <c r="AA266" s="155">
        <v>0</v>
      </c>
      <c r="AB266" s="159">
        <v>5976446.3983061435</v>
      </c>
      <c r="AC266" s="159">
        <v>17634830.400000002</v>
      </c>
      <c r="AD266" s="174">
        <f>SUM(Muut[[#This Row],[Työttömyysaste]:[Työttömät ja palveluissa olevat ]])</f>
        <v>90648227.83055459</v>
      </c>
      <c r="AF266" s="62"/>
    </row>
    <row r="267" spans="1:32" s="45" customFormat="1">
      <c r="A267" s="90">
        <v>844</v>
      </c>
      <c r="B267" s="151" t="s">
        <v>266</v>
      </c>
      <c r="C267" s="395">
        <v>1412</v>
      </c>
      <c r="D267" s="134">
        <v>58</v>
      </c>
      <c r="E267" s="41">
        <v>586</v>
      </c>
      <c r="F267" s="332">
        <f t="shared" si="7"/>
        <v>9.8976109215017066E-2</v>
      </c>
      <c r="G267" s="377">
        <f>Muut[[#This Row],[Keskim. työttömyysaste 2023, %]]/$F$12</f>
        <v>1.0072690014625951</v>
      </c>
      <c r="H267" s="166">
        <v>0</v>
      </c>
      <c r="I267" s="383">
        <v>2</v>
      </c>
      <c r="J267" s="389">
        <v>34</v>
      </c>
      <c r="K267" s="269">
        <v>347.73</v>
      </c>
      <c r="L267" s="170">
        <f t="shared" si="8"/>
        <v>4.0606217467575414</v>
      </c>
      <c r="M267" s="377">
        <v>4.5383295017614156</v>
      </c>
      <c r="N267" s="166">
        <v>3</v>
      </c>
      <c r="O267" s="397">
        <v>168</v>
      </c>
      <c r="P267" s="269">
        <v>335</v>
      </c>
      <c r="Q267" s="15">
        <v>47</v>
      </c>
      <c r="R267" s="158">
        <v>0.14029850746268657</v>
      </c>
      <c r="S267" s="401">
        <v>1.0038154158118211</v>
      </c>
      <c r="T267" s="153">
        <v>75</v>
      </c>
      <c r="U267" s="197">
        <v>98193.094827700334</v>
      </c>
      <c r="V267" s="159">
        <v>0</v>
      </c>
      <c r="W267" s="159">
        <v>0</v>
      </c>
      <c r="X267" s="159">
        <v>60217.74</v>
      </c>
      <c r="Y267" s="159">
        <v>265232.13880600181</v>
      </c>
      <c r="Z267" s="159">
        <v>0</v>
      </c>
      <c r="AA267" s="155">
        <v>49566.720000000001</v>
      </c>
      <c r="AB267" s="159">
        <v>40168.757984359094</v>
      </c>
      <c r="AC267" s="159">
        <v>63343.5</v>
      </c>
      <c r="AD267" s="174">
        <f>SUM(Muut[[#This Row],[Työttömyysaste]:[Työttömät ja palveluissa olevat ]])</f>
        <v>576721.95161806117</v>
      </c>
      <c r="AF267" s="62"/>
    </row>
    <row r="268" spans="1:32" s="45" customFormat="1">
      <c r="A268" s="90">
        <v>845</v>
      </c>
      <c r="B268" s="151" t="s">
        <v>267</v>
      </c>
      <c r="C268" s="395">
        <v>2831</v>
      </c>
      <c r="D268" s="134">
        <v>116.41666666666667</v>
      </c>
      <c r="E268" s="41">
        <v>1232</v>
      </c>
      <c r="F268" s="332">
        <f t="shared" si="7"/>
        <v>9.4494047619047616E-2</v>
      </c>
      <c r="G268" s="377">
        <f>Muut[[#This Row],[Keskim. työttömyysaste 2023, %]]/$F$12</f>
        <v>0.96165555247908008</v>
      </c>
      <c r="H268" s="166">
        <v>0</v>
      </c>
      <c r="I268" s="383">
        <v>4</v>
      </c>
      <c r="J268" s="389">
        <v>72</v>
      </c>
      <c r="K268" s="269">
        <v>1559.91</v>
      </c>
      <c r="L268" s="170">
        <f t="shared" si="8"/>
        <v>1.8148482925296971</v>
      </c>
      <c r="M268" s="377">
        <v>10.154258923271499</v>
      </c>
      <c r="N268" s="166">
        <v>0</v>
      </c>
      <c r="O268" s="397">
        <v>0</v>
      </c>
      <c r="P268" s="269">
        <v>683</v>
      </c>
      <c r="Q268" s="15">
        <v>104</v>
      </c>
      <c r="R268" s="158">
        <v>0.15226939970717424</v>
      </c>
      <c r="S268" s="401">
        <v>1.0894654087686939</v>
      </c>
      <c r="T268" s="153">
        <v>176</v>
      </c>
      <c r="U268" s="197">
        <v>187957.73184047377</v>
      </c>
      <c r="V268" s="159">
        <v>0</v>
      </c>
      <c r="W268" s="159">
        <v>0</v>
      </c>
      <c r="X268" s="159">
        <v>127519.92</v>
      </c>
      <c r="Y268" s="159">
        <v>1189826.203217641</v>
      </c>
      <c r="Z268" s="159">
        <v>0</v>
      </c>
      <c r="AA268" s="155">
        <v>0</v>
      </c>
      <c r="AB268" s="159">
        <v>87408.398056833044</v>
      </c>
      <c r="AC268" s="159">
        <v>148646.08000000002</v>
      </c>
      <c r="AD268" s="174">
        <f>SUM(Muut[[#This Row],[Työttömyysaste]:[Työttömät ja palveluissa olevat ]])</f>
        <v>1741358.3331149479</v>
      </c>
      <c r="AF268" s="62"/>
    </row>
    <row r="269" spans="1:32" s="45" customFormat="1">
      <c r="A269" s="90">
        <v>846</v>
      </c>
      <c r="B269" s="151" t="s">
        <v>268</v>
      </c>
      <c r="C269" s="395">
        <v>4758</v>
      </c>
      <c r="D269" s="134">
        <v>162.16666666666666</v>
      </c>
      <c r="E269" s="41">
        <v>1960</v>
      </c>
      <c r="F269" s="332">
        <f t="shared" ref="F269:F305" si="9">D269/E269</f>
        <v>8.2738095238095236E-2</v>
      </c>
      <c r="G269" s="377">
        <f>Muut[[#This Row],[Keskim. työttömyysaste 2023, %]]/$F$12</f>
        <v>0.84201651524152532</v>
      </c>
      <c r="H269" s="166">
        <v>0</v>
      </c>
      <c r="I269" s="383">
        <v>41</v>
      </c>
      <c r="J269" s="389">
        <v>114</v>
      </c>
      <c r="K269" s="269">
        <v>554.78</v>
      </c>
      <c r="L269" s="170">
        <f t="shared" si="8"/>
        <v>8.5763726161721774</v>
      </c>
      <c r="M269" s="377">
        <v>2.1487451972473575</v>
      </c>
      <c r="N269" s="166">
        <v>0</v>
      </c>
      <c r="O269" s="397">
        <v>0</v>
      </c>
      <c r="P269" s="269">
        <v>1140</v>
      </c>
      <c r="Q269" s="15">
        <v>173</v>
      </c>
      <c r="R269" s="158">
        <v>0.15175438596491228</v>
      </c>
      <c r="S269" s="401">
        <v>1.0857805603466608</v>
      </c>
      <c r="T269" s="153">
        <v>254</v>
      </c>
      <c r="U269" s="197">
        <v>276595.95857000403</v>
      </c>
      <c r="V269" s="159">
        <v>0</v>
      </c>
      <c r="W269" s="159">
        <v>0</v>
      </c>
      <c r="X269" s="159">
        <v>201906.53999999998</v>
      </c>
      <c r="Y269" s="159">
        <v>423160.17015153618</v>
      </c>
      <c r="Z269" s="159">
        <v>0</v>
      </c>
      <c r="AA269" s="155">
        <v>0</v>
      </c>
      <c r="AB269" s="159">
        <v>146408.51829970753</v>
      </c>
      <c r="AC269" s="159">
        <v>214523.32</v>
      </c>
      <c r="AD269" s="174">
        <f>SUM(Muut[[#This Row],[Työttömyysaste]:[Työttömät ja palveluissa olevat ]])</f>
        <v>1262594.5070212476</v>
      </c>
      <c r="AF269" s="62"/>
    </row>
    <row r="270" spans="1:32" s="45" customFormat="1">
      <c r="A270" s="90">
        <v>848</v>
      </c>
      <c r="B270" s="151" t="s">
        <v>269</v>
      </c>
      <c r="C270" s="395">
        <v>4066</v>
      </c>
      <c r="D270" s="134">
        <v>250.83333333333334</v>
      </c>
      <c r="E270" s="41">
        <v>1738</v>
      </c>
      <c r="F270" s="332">
        <f t="shared" si="9"/>
        <v>0.14432297660145763</v>
      </c>
      <c r="G270" s="377">
        <f>Muut[[#This Row],[Keskim. työttömyysaste 2023, %]]/$F$12</f>
        <v>1.468759094314886</v>
      </c>
      <c r="H270" s="166">
        <v>0</v>
      </c>
      <c r="I270" s="383">
        <v>9</v>
      </c>
      <c r="J270" s="389">
        <v>240</v>
      </c>
      <c r="K270" s="269">
        <v>837.84</v>
      </c>
      <c r="L270" s="170">
        <f t="shared" ref="L270:L305" si="10">C270/K270</f>
        <v>4.8529552181800817</v>
      </c>
      <c r="M270" s="377">
        <v>3.7973644182347543</v>
      </c>
      <c r="N270" s="166">
        <v>0</v>
      </c>
      <c r="O270" s="397">
        <v>0</v>
      </c>
      <c r="P270" s="269">
        <v>1029</v>
      </c>
      <c r="Q270" s="15">
        <v>153</v>
      </c>
      <c r="R270" s="158">
        <v>0.14868804664723032</v>
      </c>
      <c r="S270" s="401">
        <v>1.0638413484985398</v>
      </c>
      <c r="T270" s="153">
        <v>363</v>
      </c>
      <c r="U270" s="197">
        <v>412305.11792551796</v>
      </c>
      <c r="V270" s="159">
        <v>0</v>
      </c>
      <c r="W270" s="159">
        <v>0</v>
      </c>
      <c r="X270" s="159">
        <v>425066.39999999997</v>
      </c>
      <c r="Y270" s="159">
        <v>639065.06535881455</v>
      </c>
      <c r="Z270" s="159">
        <v>0</v>
      </c>
      <c r="AA270" s="155">
        <v>0</v>
      </c>
      <c r="AB270" s="159">
        <v>122586.90667768009</v>
      </c>
      <c r="AC270" s="159">
        <v>306582.54000000004</v>
      </c>
      <c r="AD270" s="174">
        <f>SUM(Muut[[#This Row],[Työttömyysaste]:[Työttömät ja palveluissa olevat ]])</f>
        <v>1905606.0299620125</v>
      </c>
      <c r="AF270" s="62"/>
    </row>
    <row r="271" spans="1:32" s="45" customFormat="1">
      <c r="A271" s="90">
        <v>849</v>
      </c>
      <c r="B271" s="151" t="s">
        <v>270</v>
      </c>
      <c r="C271" s="395">
        <v>2849</v>
      </c>
      <c r="D271" s="134">
        <v>76.166666666666671</v>
      </c>
      <c r="E271" s="41">
        <v>1151</v>
      </c>
      <c r="F271" s="332">
        <f t="shared" si="9"/>
        <v>6.6174341152620914E-2</v>
      </c>
      <c r="G271" s="377">
        <f>Muut[[#This Row],[Keskim. työttömyysaste 2023, %]]/$F$12</f>
        <v>0.67344900768368821</v>
      </c>
      <c r="H271" s="166">
        <v>0</v>
      </c>
      <c r="I271" s="383">
        <v>4</v>
      </c>
      <c r="J271" s="389">
        <v>64</v>
      </c>
      <c r="K271" s="269">
        <v>609.14</v>
      </c>
      <c r="L271" s="170">
        <f t="shared" si="10"/>
        <v>4.6770857274189845</v>
      </c>
      <c r="M271" s="377">
        <v>3.9401543060818174</v>
      </c>
      <c r="N271" s="166">
        <v>0</v>
      </c>
      <c r="O271" s="397">
        <v>0</v>
      </c>
      <c r="P271" s="269">
        <v>699</v>
      </c>
      <c r="Q271" s="15">
        <v>92</v>
      </c>
      <c r="R271" s="158">
        <v>0.13161659513590845</v>
      </c>
      <c r="S271" s="401">
        <v>0.94169759581530843</v>
      </c>
      <c r="T271" s="153">
        <v>122</v>
      </c>
      <c r="U271" s="197">
        <v>132464.02562838275</v>
      </c>
      <c r="V271" s="159">
        <v>0</v>
      </c>
      <c r="W271" s="159">
        <v>0</v>
      </c>
      <c r="X271" s="159">
        <v>113351.03999999999</v>
      </c>
      <c r="Y271" s="159">
        <v>464623.42919014156</v>
      </c>
      <c r="Z271" s="159">
        <v>0</v>
      </c>
      <c r="AA271" s="155">
        <v>0</v>
      </c>
      <c r="AB271" s="159">
        <v>76033.285406541239</v>
      </c>
      <c r="AC271" s="159">
        <v>103038.76000000001</v>
      </c>
      <c r="AD271" s="174">
        <f>SUM(Muut[[#This Row],[Työttömyysaste]:[Työttömät ja palveluissa olevat ]])</f>
        <v>889510.54022506543</v>
      </c>
      <c r="AF271" s="62"/>
    </row>
    <row r="272" spans="1:32" s="45" customFormat="1">
      <c r="A272" s="90">
        <v>850</v>
      </c>
      <c r="B272" s="151" t="s">
        <v>271</v>
      </c>
      <c r="C272" s="395">
        <v>2368</v>
      </c>
      <c r="D272" s="134">
        <v>79.333333333333329</v>
      </c>
      <c r="E272" s="41">
        <v>1000</v>
      </c>
      <c r="F272" s="332">
        <f t="shared" si="9"/>
        <v>7.9333333333333325E-2</v>
      </c>
      <c r="G272" s="377">
        <f>Muut[[#This Row],[Keskim. työttömyysaste 2023, %]]/$F$12</f>
        <v>0.80736662698842077</v>
      </c>
      <c r="H272" s="166">
        <v>0</v>
      </c>
      <c r="I272" s="383">
        <v>2</v>
      </c>
      <c r="J272" s="389">
        <v>39</v>
      </c>
      <c r="K272" s="269">
        <v>361.46</v>
      </c>
      <c r="L272" s="170">
        <f t="shared" si="10"/>
        <v>6.5512089857798932</v>
      </c>
      <c r="M272" s="377">
        <v>2.8129829942541353</v>
      </c>
      <c r="N272" s="166">
        <v>0</v>
      </c>
      <c r="O272" s="397">
        <v>0</v>
      </c>
      <c r="P272" s="269">
        <v>683</v>
      </c>
      <c r="Q272" s="15">
        <v>68</v>
      </c>
      <c r="R272" s="158">
        <v>9.9560761346998539E-2</v>
      </c>
      <c r="S272" s="401">
        <v>0.71234276727183832</v>
      </c>
      <c r="T272" s="153">
        <v>114</v>
      </c>
      <c r="U272" s="197">
        <v>131993.7216838004</v>
      </c>
      <c r="V272" s="159">
        <v>0</v>
      </c>
      <c r="W272" s="159">
        <v>0</v>
      </c>
      <c r="X272" s="159">
        <v>69073.289999999994</v>
      </c>
      <c r="Y272" s="159">
        <v>275704.73900099908</v>
      </c>
      <c r="Z272" s="159">
        <v>0</v>
      </c>
      <c r="AA272" s="155">
        <v>0</v>
      </c>
      <c r="AB272" s="159">
        <v>47804.696249977875</v>
      </c>
      <c r="AC272" s="159">
        <v>96282.12000000001</v>
      </c>
      <c r="AD272" s="174">
        <f>SUM(Muut[[#This Row],[Työttömyysaste]:[Työttömät ja palveluissa olevat ]])</f>
        <v>620858.56693477731</v>
      </c>
      <c r="AF272" s="62"/>
    </row>
    <row r="273" spans="1:32" s="45" customFormat="1">
      <c r="A273" s="90">
        <v>851</v>
      </c>
      <c r="B273" s="151" t="s">
        <v>272</v>
      </c>
      <c r="C273" s="395">
        <v>21018</v>
      </c>
      <c r="D273" s="134">
        <v>778.75</v>
      </c>
      <c r="E273" s="41">
        <v>9569</v>
      </c>
      <c r="F273" s="332">
        <f t="shared" si="9"/>
        <v>8.1382589612289682E-2</v>
      </c>
      <c r="G273" s="377">
        <f>Muut[[#This Row],[Keskim. työttömyysaste 2023, %]]/$F$12</f>
        <v>0.82822168324609935</v>
      </c>
      <c r="H273" s="166">
        <v>0</v>
      </c>
      <c r="I273" s="383">
        <v>110</v>
      </c>
      <c r="J273" s="389">
        <v>706</v>
      </c>
      <c r="K273" s="269">
        <v>1188.75</v>
      </c>
      <c r="L273" s="170">
        <f t="shared" si="10"/>
        <v>17.680757097791798</v>
      </c>
      <c r="M273" s="377">
        <v>1.0422879160024943</v>
      </c>
      <c r="N273" s="166">
        <v>0</v>
      </c>
      <c r="O273" s="397">
        <v>0</v>
      </c>
      <c r="P273" s="269">
        <v>6176</v>
      </c>
      <c r="Q273" s="15">
        <v>691</v>
      </c>
      <c r="R273" s="158">
        <v>0.11188471502590673</v>
      </c>
      <c r="S273" s="401">
        <v>0.80051886344256207</v>
      </c>
      <c r="T273" s="153">
        <v>1266</v>
      </c>
      <c r="U273" s="197">
        <v>1201818.1728877285</v>
      </c>
      <c r="V273" s="159">
        <v>0</v>
      </c>
      <c r="W273" s="159">
        <v>0</v>
      </c>
      <c r="X273" s="159">
        <v>1250403.6599999999</v>
      </c>
      <c r="Y273" s="159">
        <v>906722.75905338826</v>
      </c>
      <c r="Z273" s="159">
        <v>0</v>
      </c>
      <c r="AA273" s="155">
        <v>0</v>
      </c>
      <c r="AB273" s="159">
        <v>476829.15707182576</v>
      </c>
      <c r="AC273" s="159">
        <v>1069238.28</v>
      </c>
      <c r="AD273" s="174">
        <f>SUM(Muut[[#This Row],[Työttömyysaste]:[Työttömät ja palveluissa olevat ]])</f>
        <v>4905012.0290129427</v>
      </c>
      <c r="AF273" s="62"/>
    </row>
    <row r="274" spans="1:32" s="45" customFormat="1">
      <c r="A274" s="90">
        <v>853</v>
      </c>
      <c r="B274" s="151" t="s">
        <v>273</v>
      </c>
      <c r="C274" s="395">
        <v>201863</v>
      </c>
      <c r="D274" s="134">
        <v>11632.583333333334</v>
      </c>
      <c r="E274" s="41">
        <v>97378</v>
      </c>
      <c r="F274" s="332">
        <f t="shared" si="9"/>
        <v>0.11945802268821842</v>
      </c>
      <c r="G274" s="377">
        <f>Muut[[#This Row],[Keskim. työttömyysaste 2023, %]]/$F$12</f>
        <v>1.21571118711546</v>
      </c>
      <c r="H274" s="166">
        <v>1</v>
      </c>
      <c r="I274" s="383">
        <v>10981</v>
      </c>
      <c r="J274" s="389">
        <v>30862</v>
      </c>
      <c r="K274" s="269">
        <v>245.63</v>
      </c>
      <c r="L274" s="170">
        <f t="shared" si="10"/>
        <v>821.81736758539273</v>
      </c>
      <c r="M274" s="377">
        <v>2.2424008296330965E-2</v>
      </c>
      <c r="N274" s="166">
        <v>0</v>
      </c>
      <c r="O274" s="397">
        <v>0</v>
      </c>
      <c r="P274" s="269">
        <v>64435</v>
      </c>
      <c r="Q274" s="15">
        <v>10177</v>
      </c>
      <c r="R274" s="158">
        <v>0.15794211220609916</v>
      </c>
      <c r="S274" s="401">
        <v>1.1300528416564151</v>
      </c>
      <c r="T274" s="153">
        <v>16907</v>
      </c>
      <c r="U274" s="197">
        <v>16942906.692458067</v>
      </c>
      <c r="V274" s="159">
        <v>4140775.3464000006</v>
      </c>
      <c r="W274" s="159">
        <v>2992621.1832000003</v>
      </c>
      <c r="X274" s="159">
        <v>54659996.82</v>
      </c>
      <c r="Y274" s="159">
        <v>187355.04631443424</v>
      </c>
      <c r="Z274" s="159">
        <v>0</v>
      </c>
      <c r="AA274" s="155">
        <v>0</v>
      </c>
      <c r="AB274" s="159">
        <v>6464803.3810116872</v>
      </c>
      <c r="AC274" s="159">
        <v>14279314.060000001</v>
      </c>
      <c r="AD274" s="174">
        <f>SUM(Muut[[#This Row],[Työttömyysaste]:[Työttömät ja palveluissa olevat ]])</f>
        <v>99667772.529384196</v>
      </c>
      <c r="AF274" s="62"/>
    </row>
    <row r="275" spans="1:32" s="45" customFormat="1">
      <c r="A275" s="90">
        <v>854</v>
      </c>
      <c r="B275" s="151" t="s">
        <v>274</v>
      </c>
      <c r="C275" s="395">
        <v>3253</v>
      </c>
      <c r="D275" s="134">
        <v>127.33333333333333</v>
      </c>
      <c r="E275" s="41">
        <v>1234</v>
      </c>
      <c r="F275" s="332">
        <f t="shared" si="9"/>
        <v>0.10318746623446785</v>
      </c>
      <c r="G275" s="377">
        <f>Muut[[#This Row],[Keskim. työttömyysaste 2023, %]]/$F$12</f>
        <v>1.0501275196790405</v>
      </c>
      <c r="H275" s="166">
        <v>0</v>
      </c>
      <c r="I275" s="383">
        <v>24</v>
      </c>
      <c r="J275" s="389">
        <v>70</v>
      </c>
      <c r="K275" s="269">
        <v>1738.16</v>
      </c>
      <c r="L275" s="170">
        <f t="shared" si="10"/>
        <v>1.8715193077737378</v>
      </c>
      <c r="M275" s="377">
        <v>9.846780309589878</v>
      </c>
      <c r="N275" s="166">
        <v>0</v>
      </c>
      <c r="O275" s="397">
        <v>0</v>
      </c>
      <c r="P275" s="269">
        <v>650</v>
      </c>
      <c r="Q275" s="15">
        <v>110</v>
      </c>
      <c r="R275" s="158">
        <v>0.16923076923076924</v>
      </c>
      <c r="S275" s="401">
        <v>1.2108215408401179</v>
      </c>
      <c r="T275" s="153">
        <v>193</v>
      </c>
      <c r="U275" s="197">
        <v>235845.11527745906</v>
      </c>
      <c r="V275" s="159">
        <v>0</v>
      </c>
      <c r="W275" s="159">
        <v>0</v>
      </c>
      <c r="X275" s="159">
        <v>123977.7</v>
      </c>
      <c r="Y275" s="159">
        <v>1325786.9450062981</v>
      </c>
      <c r="Z275" s="159">
        <v>0</v>
      </c>
      <c r="AA275" s="155">
        <v>0</v>
      </c>
      <c r="AB275" s="159">
        <v>111625.66206648129</v>
      </c>
      <c r="AC275" s="159">
        <v>163003.94</v>
      </c>
      <c r="AD275" s="174">
        <f>SUM(Muut[[#This Row],[Työttömyysaste]:[Työttömät ja palveluissa olevat ]])</f>
        <v>1960239.3623502385</v>
      </c>
      <c r="AF275" s="62"/>
    </row>
    <row r="276" spans="1:32" s="45" customFormat="1">
      <c r="A276" s="90">
        <v>857</v>
      </c>
      <c r="B276" s="151" t="s">
        <v>275</v>
      </c>
      <c r="C276" s="395">
        <v>2313</v>
      </c>
      <c r="D276" s="134">
        <v>99</v>
      </c>
      <c r="E276" s="41">
        <v>885</v>
      </c>
      <c r="F276" s="332">
        <f t="shared" si="9"/>
        <v>0.11186440677966102</v>
      </c>
      <c r="G276" s="377">
        <f>Muut[[#This Row],[Keskim. työttömyysaste 2023, %]]/$F$12</f>
        <v>1.1384317913666666</v>
      </c>
      <c r="H276" s="166">
        <v>0</v>
      </c>
      <c r="I276" s="383">
        <v>3</v>
      </c>
      <c r="J276" s="389">
        <v>55</v>
      </c>
      <c r="K276" s="269">
        <v>543.21</v>
      </c>
      <c r="L276" s="170">
        <f t="shared" si="10"/>
        <v>4.258021759540509</v>
      </c>
      <c r="M276" s="377">
        <v>4.3279345455464195</v>
      </c>
      <c r="N276" s="166">
        <v>0</v>
      </c>
      <c r="O276" s="397">
        <v>0</v>
      </c>
      <c r="P276" s="269">
        <v>531</v>
      </c>
      <c r="Q276" s="15">
        <v>97</v>
      </c>
      <c r="R276" s="158">
        <v>0.18267419962335216</v>
      </c>
      <c r="S276" s="401">
        <v>1.3070073300799423</v>
      </c>
      <c r="T276" s="153">
        <v>133</v>
      </c>
      <c r="U276" s="197">
        <v>181795.62631608316</v>
      </c>
      <c r="V276" s="159">
        <v>0</v>
      </c>
      <c r="W276" s="159">
        <v>0</v>
      </c>
      <c r="X276" s="159">
        <v>97411.049999999988</v>
      </c>
      <c r="Y276" s="159">
        <v>414335.1166733047</v>
      </c>
      <c r="Z276" s="159">
        <v>0</v>
      </c>
      <c r="AA276" s="155">
        <v>0</v>
      </c>
      <c r="AB276" s="159">
        <v>85674.879429818844</v>
      </c>
      <c r="AC276" s="159">
        <v>112329.14</v>
      </c>
      <c r="AD276" s="174">
        <f>SUM(Muut[[#This Row],[Työttömyysaste]:[Työttömät ja palveluissa olevat ]])</f>
        <v>891545.81241920672</v>
      </c>
      <c r="AF276" s="62"/>
    </row>
    <row r="277" spans="1:32" s="45" customFormat="1">
      <c r="A277" s="90">
        <v>858</v>
      </c>
      <c r="B277" s="151" t="s">
        <v>276</v>
      </c>
      <c r="C277" s="395">
        <v>41338</v>
      </c>
      <c r="D277" s="134">
        <v>1438.8333333333333</v>
      </c>
      <c r="E277" s="41">
        <v>20470</v>
      </c>
      <c r="F277" s="332">
        <f t="shared" si="9"/>
        <v>7.0289855072463769E-2</v>
      </c>
      <c r="G277" s="377">
        <f>Muut[[#This Row],[Keskim. työttömyysaste 2023, %]]/$F$12</f>
        <v>0.71533214119361366</v>
      </c>
      <c r="H277" s="166">
        <v>0</v>
      </c>
      <c r="I277" s="383">
        <v>596</v>
      </c>
      <c r="J277" s="389">
        <v>3372</v>
      </c>
      <c r="K277" s="269">
        <v>219.53</v>
      </c>
      <c r="L277" s="170">
        <f t="shared" si="10"/>
        <v>188.30228214822574</v>
      </c>
      <c r="M277" s="377">
        <v>9.7866256630375945E-2</v>
      </c>
      <c r="N277" s="166">
        <v>0</v>
      </c>
      <c r="O277" s="397">
        <v>0</v>
      </c>
      <c r="P277" s="269">
        <v>14431</v>
      </c>
      <c r="Q277" s="15">
        <v>2056</v>
      </c>
      <c r="R277" s="158">
        <v>0.14247106922597186</v>
      </c>
      <c r="S277" s="401">
        <v>1.0193597792496794</v>
      </c>
      <c r="T277" s="153">
        <v>1871</v>
      </c>
      <c r="U277" s="197">
        <v>2041540.4196357573</v>
      </c>
      <c r="V277" s="159">
        <v>0</v>
      </c>
      <c r="W277" s="159">
        <v>0</v>
      </c>
      <c r="X277" s="159">
        <v>5972182.9199999999</v>
      </c>
      <c r="Y277" s="159">
        <v>167447.19015351444</v>
      </c>
      <c r="Z277" s="159">
        <v>0</v>
      </c>
      <c r="AA277" s="155">
        <v>0</v>
      </c>
      <c r="AB277" s="159">
        <v>1194199.2676780226</v>
      </c>
      <c r="AC277" s="159">
        <v>1580209.1800000002</v>
      </c>
      <c r="AD277" s="174">
        <f>SUM(Muut[[#This Row],[Työttömyysaste]:[Työttömät ja palveluissa olevat ]])</f>
        <v>10955578.977467295</v>
      </c>
      <c r="AF277" s="62"/>
    </row>
    <row r="278" spans="1:32" s="45" customFormat="1">
      <c r="A278" s="90">
        <v>859</v>
      </c>
      <c r="B278" s="151" t="s">
        <v>277</v>
      </c>
      <c r="C278" s="395">
        <v>6525</v>
      </c>
      <c r="D278" s="134">
        <v>206.25</v>
      </c>
      <c r="E278" s="41">
        <v>2820</v>
      </c>
      <c r="F278" s="332">
        <f t="shared" si="9"/>
        <v>7.3138297872340427E-2</v>
      </c>
      <c r="G278" s="377">
        <f>Muut[[#This Row],[Keskim. työttömyysaste 2023, %]]/$F$12</f>
        <v>0.74432043096889766</v>
      </c>
      <c r="H278" s="166">
        <v>0</v>
      </c>
      <c r="I278" s="383">
        <v>14</v>
      </c>
      <c r="J278" s="389">
        <v>65</v>
      </c>
      <c r="K278" s="269">
        <v>491.83</v>
      </c>
      <c r="L278" s="170">
        <f t="shared" si="10"/>
        <v>13.266779171665007</v>
      </c>
      <c r="M278" s="377">
        <v>1.3890665722516067</v>
      </c>
      <c r="N278" s="166">
        <v>0</v>
      </c>
      <c r="O278" s="397">
        <v>0</v>
      </c>
      <c r="P278" s="269">
        <v>1930</v>
      </c>
      <c r="Q278" s="15">
        <v>141</v>
      </c>
      <c r="R278" s="158">
        <v>7.3056994818652854E-2</v>
      </c>
      <c r="S278" s="401">
        <v>0.52271217248232138</v>
      </c>
      <c r="T278" s="153">
        <v>292</v>
      </c>
      <c r="U278" s="197">
        <v>335305.93366545485</v>
      </c>
      <c r="V278" s="159">
        <v>0</v>
      </c>
      <c r="W278" s="159">
        <v>0</v>
      </c>
      <c r="X278" s="159">
        <v>115122.15</v>
      </c>
      <c r="Y278" s="159">
        <v>375144.86190134834</v>
      </c>
      <c r="Z278" s="159">
        <v>0</v>
      </c>
      <c r="AA278" s="155">
        <v>0</v>
      </c>
      <c r="AB278" s="159">
        <v>96659.150867172139</v>
      </c>
      <c r="AC278" s="159">
        <v>246617.36000000002</v>
      </c>
      <c r="AD278" s="174">
        <f>SUM(Muut[[#This Row],[Työttömyysaste]:[Työttömät ja palveluissa olevat ]])</f>
        <v>1168849.4564339754</v>
      </c>
      <c r="AF278" s="62"/>
    </row>
    <row r="279" spans="1:32" s="45" customFormat="1">
      <c r="A279" s="90">
        <v>886</v>
      </c>
      <c r="B279" s="151" t="s">
        <v>278</v>
      </c>
      <c r="C279" s="395">
        <v>12533</v>
      </c>
      <c r="D279" s="134">
        <v>410.91666666666669</v>
      </c>
      <c r="E279" s="41">
        <v>5685</v>
      </c>
      <c r="F279" s="332">
        <f t="shared" si="9"/>
        <v>7.2280856053943132E-2</v>
      </c>
      <c r="G279" s="377">
        <f>Muut[[#This Row],[Keskim. työttömyysaste 2023, %]]/$F$12</f>
        <v>0.73559433968202914</v>
      </c>
      <c r="H279" s="166">
        <v>0</v>
      </c>
      <c r="I279" s="383">
        <v>32</v>
      </c>
      <c r="J279" s="389">
        <v>354</v>
      </c>
      <c r="K279" s="269">
        <v>400.84</v>
      </c>
      <c r="L279" s="170">
        <f t="shared" si="10"/>
        <v>31.2668396367628</v>
      </c>
      <c r="M279" s="377">
        <v>0.58939245804478435</v>
      </c>
      <c r="N279" s="166">
        <v>0</v>
      </c>
      <c r="O279" s="397">
        <v>0</v>
      </c>
      <c r="P279" s="269">
        <v>3774</v>
      </c>
      <c r="Q279" s="15">
        <v>333</v>
      </c>
      <c r="R279" s="158">
        <v>8.8235294117647065E-2</v>
      </c>
      <c r="S279" s="401">
        <v>0.63131069642733428</v>
      </c>
      <c r="T279" s="153">
        <v>578</v>
      </c>
      <c r="U279" s="197">
        <v>636493.83444157557</v>
      </c>
      <c r="V279" s="159">
        <v>0</v>
      </c>
      <c r="W279" s="159">
        <v>0</v>
      </c>
      <c r="X279" s="159">
        <v>626972.93999999994</v>
      </c>
      <c r="Y279" s="159">
        <v>305741.95645758993</v>
      </c>
      <c r="Z279" s="159">
        <v>0</v>
      </c>
      <c r="AA279" s="155">
        <v>0</v>
      </c>
      <c r="AB279" s="159">
        <v>224232.22859889595</v>
      </c>
      <c r="AC279" s="159">
        <v>488167.24000000005</v>
      </c>
      <c r="AD279" s="174">
        <f>SUM(Muut[[#This Row],[Työttömyysaste]:[Työttömät ja palveluissa olevat ]])</f>
        <v>2281608.1994980616</v>
      </c>
      <c r="AF279" s="62"/>
    </row>
    <row r="280" spans="1:32" s="45" customFormat="1">
      <c r="A280" s="90">
        <v>887</v>
      </c>
      <c r="B280" s="151" t="s">
        <v>279</v>
      </c>
      <c r="C280" s="395">
        <v>4568</v>
      </c>
      <c r="D280" s="134">
        <v>188.75</v>
      </c>
      <c r="E280" s="41">
        <v>1920</v>
      </c>
      <c r="F280" s="332">
        <f t="shared" si="9"/>
        <v>9.8307291666666671E-2</v>
      </c>
      <c r="G280" s="377">
        <f>Muut[[#This Row],[Keskim. työttömyysaste 2023, %]]/$F$12</f>
        <v>1.0004625186716416</v>
      </c>
      <c r="H280" s="166">
        <v>0</v>
      </c>
      <c r="I280" s="383">
        <v>12</v>
      </c>
      <c r="J280" s="389">
        <v>144</v>
      </c>
      <c r="K280" s="269">
        <v>475.52</v>
      </c>
      <c r="L280" s="170">
        <f t="shared" si="10"/>
        <v>9.6063257065948857</v>
      </c>
      <c r="M280" s="377">
        <v>1.9183650473304608</v>
      </c>
      <c r="N280" s="166">
        <v>0</v>
      </c>
      <c r="O280" s="397">
        <v>0</v>
      </c>
      <c r="P280" s="269">
        <v>1254</v>
      </c>
      <c r="Q280" s="15">
        <v>203</v>
      </c>
      <c r="R280" s="158">
        <v>0.16188197767145135</v>
      </c>
      <c r="S280" s="401">
        <v>1.1582420060450453</v>
      </c>
      <c r="T280" s="153">
        <v>337</v>
      </c>
      <c r="U280" s="197">
        <v>315520.58669656375</v>
      </c>
      <c r="V280" s="159">
        <v>0</v>
      </c>
      <c r="W280" s="159">
        <v>0</v>
      </c>
      <c r="X280" s="159">
        <v>255039.84</v>
      </c>
      <c r="Y280" s="159">
        <v>362704.35868354747</v>
      </c>
      <c r="Z280" s="159">
        <v>0</v>
      </c>
      <c r="AA280" s="155">
        <v>0</v>
      </c>
      <c r="AB280" s="159">
        <v>149942.67436561416</v>
      </c>
      <c r="AC280" s="159">
        <v>284623.46000000002</v>
      </c>
      <c r="AD280" s="174">
        <f>SUM(Muut[[#This Row],[Työttömyysaste]:[Työttömät ja palveluissa olevat ]])</f>
        <v>1367830.9197457253</v>
      </c>
      <c r="AF280" s="62"/>
    </row>
    <row r="281" spans="1:32" s="45" customFormat="1">
      <c r="A281" s="90">
        <v>889</v>
      </c>
      <c r="B281" s="151" t="s">
        <v>280</v>
      </c>
      <c r="C281" s="395">
        <v>2491</v>
      </c>
      <c r="D281" s="134">
        <v>101.16666666666667</v>
      </c>
      <c r="E281" s="41">
        <v>986</v>
      </c>
      <c r="F281" s="332">
        <f t="shared" si="9"/>
        <v>0.10260311020960108</v>
      </c>
      <c r="G281" s="377">
        <f>Muut[[#This Row],[Keskim. työttömyysaste 2023, %]]/$F$12</f>
        <v>1.0441805925434475</v>
      </c>
      <c r="H281" s="166">
        <v>0</v>
      </c>
      <c r="I281" s="383">
        <v>0</v>
      </c>
      <c r="J281" s="389">
        <v>77</v>
      </c>
      <c r="K281" s="269">
        <v>1669.46</v>
      </c>
      <c r="L281" s="170">
        <f t="shared" si="10"/>
        <v>1.4920992416709595</v>
      </c>
      <c r="M281" s="377">
        <v>12.35067946832158</v>
      </c>
      <c r="N281" s="166">
        <v>0</v>
      </c>
      <c r="O281" s="397">
        <v>0</v>
      </c>
      <c r="P281" s="269">
        <v>585</v>
      </c>
      <c r="Q281" s="15">
        <v>77</v>
      </c>
      <c r="R281" s="158">
        <v>0.13162393162393163</v>
      </c>
      <c r="S281" s="401">
        <v>0.9417500873200918</v>
      </c>
      <c r="T281" s="153">
        <v>158</v>
      </c>
      <c r="U281" s="197">
        <v>179576.75822001626</v>
      </c>
      <c r="V281" s="159">
        <v>0</v>
      </c>
      <c r="W281" s="159">
        <v>0</v>
      </c>
      <c r="X281" s="159">
        <v>136375.47</v>
      </c>
      <c r="Y281" s="159">
        <v>1273385.8063758311</v>
      </c>
      <c r="Z281" s="159">
        <v>0</v>
      </c>
      <c r="AA281" s="155">
        <v>0</v>
      </c>
      <c r="AB281" s="159">
        <v>66482.790909356641</v>
      </c>
      <c r="AC281" s="159">
        <v>133443.64000000001</v>
      </c>
      <c r="AD281" s="174">
        <f>SUM(Muut[[#This Row],[Työttömyysaste]:[Työttömät ja palveluissa olevat ]])</f>
        <v>1789264.4655052042</v>
      </c>
      <c r="AF281" s="62"/>
    </row>
    <row r="282" spans="1:32" s="45" customFormat="1">
      <c r="A282" s="90">
        <v>890</v>
      </c>
      <c r="B282" s="151" t="s">
        <v>281</v>
      </c>
      <c r="C282" s="395">
        <v>1139</v>
      </c>
      <c r="D282" s="134">
        <v>45.416666666666664</v>
      </c>
      <c r="E282" s="41">
        <v>534</v>
      </c>
      <c r="F282" s="332">
        <f t="shared" si="9"/>
        <v>8.5049937578027465E-2</v>
      </c>
      <c r="G282" s="377">
        <f>Muut[[#This Row],[Keskim. työttömyysaste 2023, %]]/$F$12</f>
        <v>0.86554388102455182</v>
      </c>
      <c r="H282" s="166">
        <v>0</v>
      </c>
      <c r="I282" s="383">
        <v>2</v>
      </c>
      <c r="J282" s="389">
        <v>50</v>
      </c>
      <c r="K282" s="269">
        <v>5147.16</v>
      </c>
      <c r="L282" s="170">
        <f t="shared" si="10"/>
        <v>0.22128707869971015</v>
      </c>
      <c r="M282" s="377">
        <v>83.278425369839994</v>
      </c>
      <c r="N282" s="166">
        <v>0</v>
      </c>
      <c r="O282" s="397">
        <v>0</v>
      </c>
      <c r="P282" s="269">
        <v>333</v>
      </c>
      <c r="Q282" s="15">
        <v>62</v>
      </c>
      <c r="R282" s="158">
        <v>0.18618618618618618</v>
      </c>
      <c r="S282" s="401">
        <v>1.3321350831519725</v>
      </c>
      <c r="T282" s="153">
        <v>56</v>
      </c>
      <c r="U282" s="197">
        <v>68063.393332820036</v>
      </c>
      <c r="V282" s="159">
        <v>0</v>
      </c>
      <c r="W282" s="159">
        <v>0</v>
      </c>
      <c r="X282" s="159">
        <v>88555.5</v>
      </c>
      <c r="Y282" s="159">
        <v>942864.20000000007</v>
      </c>
      <c r="Z282" s="159">
        <v>0</v>
      </c>
      <c r="AA282" s="155">
        <v>0</v>
      </c>
      <c r="AB282" s="159">
        <v>43000.334704184133</v>
      </c>
      <c r="AC282" s="159">
        <v>47296.480000000003</v>
      </c>
      <c r="AD282" s="174">
        <f>SUM(Muut[[#This Row],[Työttömyysaste]:[Työttömät ja palveluissa olevat ]])</f>
        <v>1189779.9080370043</v>
      </c>
      <c r="AF282" s="62"/>
    </row>
    <row r="283" spans="1:32" s="45" customFormat="1">
      <c r="A283" s="90">
        <v>892</v>
      </c>
      <c r="B283" s="151" t="s">
        <v>282</v>
      </c>
      <c r="C283" s="395">
        <v>3615</v>
      </c>
      <c r="D283" s="134">
        <v>162.16666666666666</v>
      </c>
      <c r="E283" s="41">
        <v>1567</v>
      </c>
      <c r="F283" s="332">
        <f t="shared" si="9"/>
        <v>0.10348861944267176</v>
      </c>
      <c r="G283" s="377">
        <f>Muut[[#This Row],[Keskim. työttömyysaste 2023, %]]/$F$12</f>
        <v>1.053192322829221</v>
      </c>
      <c r="H283" s="166">
        <v>0</v>
      </c>
      <c r="I283" s="383">
        <v>3</v>
      </c>
      <c r="J283" s="389">
        <v>58</v>
      </c>
      <c r="K283" s="269">
        <v>347.98</v>
      </c>
      <c r="L283" s="170">
        <f t="shared" si="10"/>
        <v>10.388528076326224</v>
      </c>
      <c r="M283" s="377">
        <v>1.7739220930440718</v>
      </c>
      <c r="N283" s="166">
        <v>0</v>
      </c>
      <c r="O283" s="397">
        <v>0</v>
      </c>
      <c r="P283" s="269">
        <v>1145</v>
      </c>
      <c r="Q283" s="15">
        <v>100</v>
      </c>
      <c r="R283" s="158">
        <v>8.7336244541484712E-2</v>
      </c>
      <c r="S283" s="401">
        <v>0.62487812746810378</v>
      </c>
      <c r="T283" s="153">
        <v>224</v>
      </c>
      <c r="U283" s="197">
        <v>262855.3186547879</v>
      </c>
      <c r="V283" s="159">
        <v>0</v>
      </c>
      <c r="W283" s="159">
        <v>0</v>
      </c>
      <c r="X283" s="159">
        <v>102724.37999999999</v>
      </c>
      <c r="Y283" s="159">
        <v>265422.82708340528</v>
      </c>
      <c r="Z283" s="159">
        <v>0</v>
      </c>
      <c r="AA283" s="155">
        <v>0</v>
      </c>
      <c r="AB283" s="159">
        <v>64018.201768792511</v>
      </c>
      <c r="AC283" s="159">
        <v>189185.92000000001</v>
      </c>
      <c r="AD283" s="174">
        <f>SUM(Muut[[#This Row],[Työttömyysaste]:[Työttömät ja palveluissa olevat ]])</f>
        <v>884206.6475069857</v>
      </c>
      <c r="AF283" s="62"/>
    </row>
    <row r="284" spans="1:32" s="45" customFormat="1">
      <c r="A284" s="90">
        <v>893</v>
      </c>
      <c r="B284" s="151" t="s">
        <v>283</v>
      </c>
      <c r="C284" s="395">
        <v>7500</v>
      </c>
      <c r="D284" s="134">
        <v>148.25</v>
      </c>
      <c r="E284" s="41">
        <v>3416</v>
      </c>
      <c r="F284" s="332">
        <f t="shared" si="9"/>
        <v>4.3398711943793911E-2</v>
      </c>
      <c r="G284" s="377">
        <f>Muut[[#This Row],[Keskim. työttömyysaste 2023, %]]/$F$12</f>
        <v>0.44166392871054178</v>
      </c>
      <c r="H284" s="166">
        <v>3</v>
      </c>
      <c r="I284" s="383">
        <v>6278</v>
      </c>
      <c r="J284" s="389">
        <v>733</v>
      </c>
      <c r="K284" s="269">
        <v>732.86</v>
      </c>
      <c r="L284" s="170">
        <f t="shared" si="10"/>
        <v>10.233878230494227</v>
      </c>
      <c r="M284" s="377">
        <v>1.8007288198809994</v>
      </c>
      <c r="N284" s="166">
        <v>0</v>
      </c>
      <c r="O284" s="397">
        <v>0</v>
      </c>
      <c r="P284" s="269">
        <v>2312</v>
      </c>
      <c r="Q284" s="15">
        <v>363</v>
      </c>
      <c r="R284" s="158">
        <v>0.1570069204152249</v>
      </c>
      <c r="S284" s="401">
        <v>1.1233616804074624</v>
      </c>
      <c r="T284" s="153">
        <v>273</v>
      </c>
      <c r="U284" s="197">
        <v>228693.58228631856</v>
      </c>
      <c r="V284" s="159">
        <v>153846.00000000003</v>
      </c>
      <c r="W284" s="159">
        <v>1710925.7616000003</v>
      </c>
      <c r="X284" s="159">
        <v>1298223.6299999999</v>
      </c>
      <c r="Y284" s="159">
        <v>558991.24391155923</v>
      </c>
      <c r="Z284" s="159">
        <v>0</v>
      </c>
      <c r="AA284" s="155">
        <v>0</v>
      </c>
      <c r="AB284" s="159">
        <v>238770.52517060615</v>
      </c>
      <c r="AC284" s="159">
        <v>230570.34000000003</v>
      </c>
      <c r="AD284" s="174">
        <f>SUM(Muut[[#This Row],[Työttömyysaste]:[Työttömät ja palveluissa olevat ]])</f>
        <v>4420021.0829684837</v>
      </c>
      <c r="AF284" s="62"/>
    </row>
    <row r="285" spans="1:32" s="45" customFormat="1">
      <c r="A285" s="90">
        <v>895</v>
      </c>
      <c r="B285" s="151" t="s">
        <v>284</v>
      </c>
      <c r="C285" s="395">
        <v>14938</v>
      </c>
      <c r="D285" s="134">
        <v>681.08333333333337</v>
      </c>
      <c r="E285" s="41">
        <v>7157</v>
      </c>
      <c r="F285" s="332">
        <f t="shared" si="9"/>
        <v>9.5163243444646273E-2</v>
      </c>
      <c r="G285" s="377">
        <f>Muut[[#This Row],[Keskim. työttömyysaste 2023, %]]/$F$12</f>
        <v>0.96846588495607577</v>
      </c>
      <c r="H285" s="166">
        <v>0</v>
      </c>
      <c r="I285" s="383">
        <v>56</v>
      </c>
      <c r="J285" s="389">
        <v>1209</v>
      </c>
      <c r="K285" s="269">
        <v>503.62</v>
      </c>
      <c r="L285" s="170">
        <f t="shared" si="10"/>
        <v>29.661252531670705</v>
      </c>
      <c r="M285" s="377">
        <v>0.62129673887260206</v>
      </c>
      <c r="N285" s="166">
        <v>3</v>
      </c>
      <c r="O285" s="397">
        <v>642</v>
      </c>
      <c r="P285" s="269">
        <v>4306</v>
      </c>
      <c r="Q285" s="15">
        <v>760</v>
      </c>
      <c r="R285" s="158">
        <v>0.17649790989317232</v>
      </c>
      <c r="S285" s="401">
        <v>1.2628168753431117</v>
      </c>
      <c r="T285" s="153">
        <v>1068</v>
      </c>
      <c r="U285" s="197">
        <v>998797.77160927537</v>
      </c>
      <c r="V285" s="159">
        <v>0</v>
      </c>
      <c r="W285" s="159">
        <v>0</v>
      </c>
      <c r="X285" s="159">
        <v>2141271.9899999998</v>
      </c>
      <c r="Y285" s="159">
        <v>384137.72106369492</v>
      </c>
      <c r="Z285" s="159">
        <v>0</v>
      </c>
      <c r="AA285" s="155">
        <v>189415.68000000002</v>
      </c>
      <c r="AB285" s="159">
        <v>534604.58343302889</v>
      </c>
      <c r="AC285" s="159">
        <v>902011.44000000006</v>
      </c>
      <c r="AD285" s="174">
        <f>SUM(Muut[[#This Row],[Työttömyysaste]:[Työttömät ja palveluissa olevat ]])</f>
        <v>5150239.1861059992</v>
      </c>
      <c r="AF285" s="62"/>
    </row>
    <row r="286" spans="1:32" s="45" customFormat="1">
      <c r="A286" s="90">
        <v>905</v>
      </c>
      <c r="B286" s="151" t="s">
        <v>285</v>
      </c>
      <c r="C286" s="395">
        <v>68956</v>
      </c>
      <c r="D286" s="134">
        <v>2402</v>
      </c>
      <c r="E286" s="41">
        <v>32771</v>
      </c>
      <c r="F286" s="332">
        <f t="shared" si="9"/>
        <v>7.3296512160141589E-2</v>
      </c>
      <c r="G286" s="377">
        <f>Muut[[#This Row],[Keskim. työttömyysaste 2023, %]]/$F$12</f>
        <v>0.74593056041280614</v>
      </c>
      <c r="H286" s="166">
        <v>1</v>
      </c>
      <c r="I286" s="383">
        <v>16017</v>
      </c>
      <c r="J286" s="389">
        <v>8312</v>
      </c>
      <c r="K286" s="269">
        <v>364.84</v>
      </c>
      <c r="L286" s="170">
        <f t="shared" si="10"/>
        <v>189.00339875013705</v>
      </c>
      <c r="M286" s="377">
        <v>9.7503217353070784E-2</v>
      </c>
      <c r="N286" s="166">
        <v>0</v>
      </c>
      <c r="O286" s="397">
        <v>0</v>
      </c>
      <c r="P286" s="269">
        <v>21293</v>
      </c>
      <c r="Q286" s="15">
        <v>2644</v>
      </c>
      <c r="R286" s="158">
        <v>0.1241722631850843</v>
      </c>
      <c r="S286" s="401">
        <v>0.88843448341444986</v>
      </c>
      <c r="T286" s="153">
        <v>3943</v>
      </c>
      <c r="U286" s="197">
        <v>3551168.2084529102</v>
      </c>
      <c r="V286" s="159">
        <v>1414480.6368000002</v>
      </c>
      <c r="W286" s="159">
        <v>4365068.1624000007</v>
      </c>
      <c r="X286" s="159">
        <v>14721466.319999998</v>
      </c>
      <c r="Y286" s="159">
        <v>278282.84451149363</v>
      </c>
      <c r="Z286" s="159">
        <v>0</v>
      </c>
      <c r="AA286" s="155">
        <v>0</v>
      </c>
      <c r="AB286" s="159">
        <v>1736190.2526741817</v>
      </c>
      <c r="AC286" s="159">
        <v>3330178.94</v>
      </c>
      <c r="AD286" s="174">
        <f>SUM(Muut[[#This Row],[Työttömyysaste]:[Työttömät ja palveluissa olevat ]])</f>
        <v>29396835.364838585</v>
      </c>
      <c r="AF286" s="62"/>
    </row>
    <row r="287" spans="1:32" s="45" customFormat="1">
      <c r="A287" s="90">
        <v>908</v>
      </c>
      <c r="B287" s="151" t="s">
        <v>286</v>
      </c>
      <c r="C287" s="395">
        <v>20694</v>
      </c>
      <c r="D287" s="134">
        <v>979.08333333333337</v>
      </c>
      <c r="E287" s="41">
        <v>9009</v>
      </c>
      <c r="F287" s="332">
        <f t="shared" si="9"/>
        <v>0.10867835867835868</v>
      </c>
      <c r="G287" s="377">
        <f>Muut[[#This Row],[Keskim. työttömyysaste 2023, %]]/$F$12</f>
        <v>1.1060077294888766</v>
      </c>
      <c r="H287" s="166">
        <v>0</v>
      </c>
      <c r="I287" s="383">
        <v>36</v>
      </c>
      <c r="J287" s="389">
        <v>1055</v>
      </c>
      <c r="K287" s="269">
        <v>272.05</v>
      </c>
      <c r="L287" s="170">
        <f t="shared" si="10"/>
        <v>76.066899467009733</v>
      </c>
      <c r="M287" s="377">
        <v>0.2422662103744106</v>
      </c>
      <c r="N287" s="166">
        <v>0</v>
      </c>
      <c r="O287" s="397">
        <v>0</v>
      </c>
      <c r="P287" s="269">
        <v>6348</v>
      </c>
      <c r="Q287" s="15">
        <v>645</v>
      </c>
      <c r="R287" s="158">
        <v>0.10160680529300567</v>
      </c>
      <c r="S287" s="401">
        <v>0.72698191412788493</v>
      </c>
      <c r="T287" s="153">
        <v>1373</v>
      </c>
      <c r="U287" s="197">
        <v>1580168.461787116</v>
      </c>
      <c r="V287" s="159">
        <v>0</v>
      </c>
      <c r="W287" s="159">
        <v>0</v>
      </c>
      <c r="X287" s="159">
        <v>1868521.0499999998</v>
      </c>
      <c r="Y287" s="159">
        <v>207506.98347043048</v>
      </c>
      <c r="Z287" s="159">
        <v>0</v>
      </c>
      <c r="AA287" s="155">
        <v>0</v>
      </c>
      <c r="AB287" s="159">
        <v>426351.60013547586</v>
      </c>
      <c r="AC287" s="159">
        <v>1159608.3400000001</v>
      </c>
      <c r="AD287" s="174">
        <f>SUM(Muut[[#This Row],[Työttömyysaste]:[Työttömät ja palveluissa olevat ]])</f>
        <v>5242156.4353930224</v>
      </c>
      <c r="AF287" s="62"/>
    </row>
    <row r="288" spans="1:32" s="45" customFormat="1">
      <c r="A288" s="90">
        <v>915</v>
      </c>
      <c r="B288" s="151" t="s">
        <v>287</v>
      </c>
      <c r="C288" s="395">
        <v>19727</v>
      </c>
      <c r="D288" s="134">
        <v>1050.4166666666667</v>
      </c>
      <c r="E288" s="41">
        <v>8264</v>
      </c>
      <c r="F288" s="332">
        <f t="shared" si="9"/>
        <v>0.12710753468860925</v>
      </c>
      <c r="G288" s="377">
        <f>Muut[[#This Row],[Keskim. työttömyysaste 2023, %]]/$F$12</f>
        <v>1.2935594312565899</v>
      </c>
      <c r="H288" s="166">
        <v>0</v>
      </c>
      <c r="I288" s="383">
        <v>37</v>
      </c>
      <c r="J288" s="389">
        <v>957</v>
      </c>
      <c r="K288" s="269">
        <v>385.62</v>
      </c>
      <c r="L288" s="170">
        <f t="shared" si="10"/>
        <v>51.156579015611221</v>
      </c>
      <c r="M288" s="377">
        <v>0.36023596228316979</v>
      </c>
      <c r="N288" s="166">
        <v>0</v>
      </c>
      <c r="O288" s="397">
        <v>0</v>
      </c>
      <c r="P288" s="269">
        <v>5222</v>
      </c>
      <c r="Q288" s="15">
        <v>710</v>
      </c>
      <c r="R288" s="158">
        <v>0.13596323247797779</v>
      </c>
      <c r="S288" s="401">
        <v>0.97279715382074872</v>
      </c>
      <c r="T288" s="153">
        <v>1607</v>
      </c>
      <c r="U288" s="197">
        <v>1761765.9580035298</v>
      </c>
      <c r="V288" s="159">
        <v>0</v>
      </c>
      <c r="W288" s="159">
        <v>0</v>
      </c>
      <c r="X288" s="159">
        <v>1694952.27</v>
      </c>
      <c r="Y288" s="159">
        <v>294132.85412926815</v>
      </c>
      <c r="Z288" s="159">
        <v>0</v>
      </c>
      <c r="AA288" s="155">
        <v>0</v>
      </c>
      <c r="AB288" s="159">
        <v>543855.07030997693</v>
      </c>
      <c r="AC288" s="159">
        <v>1357240.06</v>
      </c>
      <c r="AD288" s="174">
        <f>SUM(Muut[[#This Row],[Työttömyysaste]:[Työttömät ja palveluissa olevat ]])</f>
        <v>5651946.2124427743</v>
      </c>
      <c r="AF288" s="62"/>
    </row>
    <row r="289" spans="1:32" s="45" customFormat="1">
      <c r="A289" s="90">
        <v>918</v>
      </c>
      <c r="B289" s="151" t="s">
        <v>288</v>
      </c>
      <c r="C289" s="395">
        <v>2245</v>
      </c>
      <c r="D289" s="134">
        <v>82.5</v>
      </c>
      <c r="E289" s="41">
        <v>1023</v>
      </c>
      <c r="F289" s="332">
        <f t="shared" si="9"/>
        <v>8.0645161290322578E-2</v>
      </c>
      <c r="G289" s="377">
        <f>Muut[[#This Row],[Keskim. työttömyysaste 2023, %]]/$F$12</f>
        <v>0.8207169561416584</v>
      </c>
      <c r="H289" s="166">
        <v>0</v>
      </c>
      <c r="I289" s="383">
        <v>11</v>
      </c>
      <c r="J289" s="389">
        <v>123</v>
      </c>
      <c r="K289" s="269">
        <v>188.88</v>
      </c>
      <c r="L289" s="170">
        <f t="shared" si="10"/>
        <v>11.885853451927149</v>
      </c>
      <c r="M289" s="377">
        <v>1.5504515130813572</v>
      </c>
      <c r="N289" s="166">
        <v>0</v>
      </c>
      <c r="O289" s="397">
        <v>0</v>
      </c>
      <c r="P289" s="269">
        <v>678</v>
      </c>
      <c r="Q289" s="15">
        <v>114</v>
      </c>
      <c r="R289" s="158">
        <v>0.16814159292035399</v>
      </c>
      <c r="S289" s="401">
        <v>1.2030286427494334</v>
      </c>
      <c r="T289" s="153">
        <v>115</v>
      </c>
      <c r="U289" s="197">
        <v>127206.86047378513</v>
      </c>
      <c r="V289" s="159">
        <v>0</v>
      </c>
      <c r="W289" s="159">
        <v>0</v>
      </c>
      <c r="X289" s="159">
        <v>217846.53</v>
      </c>
      <c r="Y289" s="159">
        <v>144068.80734385192</v>
      </c>
      <c r="Z289" s="159">
        <v>0</v>
      </c>
      <c r="AA289" s="155">
        <v>0</v>
      </c>
      <c r="AB289" s="159">
        <v>76540.652246240032</v>
      </c>
      <c r="AC289" s="159">
        <v>97126.700000000012</v>
      </c>
      <c r="AD289" s="174">
        <f>SUM(Muut[[#This Row],[Työttömyysaste]:[Työttömät ja palveluissa olevat ]])</f>
        <v>662789.55006387713</v>
      </c>
      <c r="AF289" s="62"/>
    </row>
    <row r="290" spans="1:32" s="45" customFormat="1">
      <c r="A290" s="90">
        <v>921</v>
      </c>
      <c r="B290" s="151" t="s">
        <v>289</v>
      </c>
      <c r="C290" s="395">
        <v>1895</v>
      </c>
      <c r="D290" s="134">
        <v>74.416666666666671</v>
      </c>
      <c r="E290" s="41">
        <v>707</v>
      </c>
      <c r="F290" s="332">
        <f t="shared" si="9"/>
        <v>0.10525695426685526</v>
      </c>
      <c r="G290" s="377">
        <f>Muut[[#This Row],[Keskim. työttömyysaste 2023, %]]/$F$12</f>
        <v>1.0711884722710765</v>
      </c>
      <c r="H290" s="166">
        <v>0</v>
      </c>
      <c r="I290" s="383">
        <v>1</v>
      </c>
      <c r="J290" s="389">
        <v>49</v>
      </c>
      <c r="K290" s="269">
        <v>422.63</v>
      </c>
      <c r="L290" s="170">
        <f t="shared" si="10"/>
        <v>4.4838274613728322</v>
      </c>
      <c r="M290" s="377">
        <v>4.1099796162007998</v>
      </c>
      <c r="N290" s="166">
        <v>0</v>
      </c>
      <c r="O290" s="397">
        <v>0</v>
      </c>
      <c r="P290" s="269">
        <v>385</v>
      </c>
      <c r="Q290" s="15">
        <v>60</v>
      </c>
      <c r="R290" s="158">
        <v>0.15584415584415584</v>
      </c>
      <c r="S290" s="401">
        <v>1.1150422690145123</v>
      </c>
      <c r="T290" s="153">
        <v>104</v>
      </c>
      <c r="U290" s="197">
        <v>140144.44477800277</v>
      </c>
      <c r="V290" s="159">
        <v>0</v>
      </c>
      <c r="W290" s="159">
        <v>0</v>
      </c>
      <c r="X290" s="159">
        <v>86784.39</v>
      </c>
      <c r="Y290" s="159">
        <v>322362.34671607433</v>
      </c>
      <c r="Z290" s="159">
        <v>0</v>
      </c>
      <c r="AA290" s="155">
        <v>0</v>
      </c>
      <c r="AB290" s="159">
        <v>59882.564527836075</v>
      </c>
      <c r="AC290" s="159">
        <v>87836.32</v>
      </c>
      <c r="AD290" s="174">
        <f>SUM(Muut[[#This Row],[Työttömyysaste]:[Työttömät ja palveluissa olevat ]])</f>
        <v>697010.0660219132</v>
      </c>
      <c r="AF290" s="62"/>
    </row>
    <row r="291" spans="1:32" s="45" customFormat="1">
      <c r="A291" s="90">
        <v>922</v>
      </c>
      <c r="B291" s="151" t="s">
        <v>290</v>
      </c>
      <c r="C291" s="395">
        <v>4469</v>
      </c>
      <c r="D291" s="134">
        <v>128</v>
      </c>
      <c r="E291" s="41">
        <v>2160</v>
      </c>
      <c r="F291" s="332">
        <f t="shared" si="9"/>
        <v>5.9259259259259262E-2</v>
      </c>
      <c r="G291" s="377">
        <f>Muut[[#This Row],[Keskim. työttömyysaste 2023, %]]/$F$12</f>
        <v>0.60307497814261124</v>
      </c>
      <c r="H291" s="166">
        <v>0</v>
      </c>
      <c r="I291" s="383">
        <v>23</v>
      </c>
      <c r="J291" s="389">
        <v>85</v>
      </c>
      <c r="K291" s="269">
        <v>301.06</v>
      </c>
      <c r="L291" s="170">
        <f t="shared" si="10"/>
        <v>14.84421709958148</v>
      </c>
      <c r="M291" s="377">
        <v>1.2414558036424364</v>
      </c>
      <c r="N291" s="166">
        <v>0</v>
      </c>
      <c r="O291" s="397">
        <v>0</v>
      </c>
      <c r="P291" s="269">
        <v>1522</v>
      </c>
      <c r="Q291" s="15">
        <v>113</v>
      </c>
      <c r="R291" s="158">
        <v>7.4244415243101186E-2</v>
      </c>
      <c r="S291" s="401">
        <v>0.53120799292024057</v>
      </c>
      <c r="T291" s="153">
        <v>196</v>
      </c>
      <c r="U291" s="197">
        <v>186072.60901812653</v>
      </c>
      <c r="V291" s="159">
        <v>0</v>
      </c>
      <c r="W291" s="159">
        <v>0</v>
      </c>
      <c r="X291" s="159">
        <v>150544.35</v>
      </c>
      <c r="Y291" s="159">
        <v>229634.45118032643</v>
      </c>
      <c r="Z291" s="159">
        <v>0</v>
      </c>
      <c r="AA291" s="155">
        <v>0</v>
      </c>
      <c r="AB291" s="159">
        <v>67278.267867018134</v>
      </c>
      <c r="AC291" s="159">
        <v>165537.68000000002</v>
      </c>
      <c r="AD291" s="174">
        <f>SUM(Muut[[#This Row],[Työttömyysaste]:[Työttömät ja palveluissa olevat ]])</f>
        <v>799067.35806547117</v>
      </c>
      <c r="AF291" s="62"/>
    </row>
    <row r="292" spans="1:32" s="45" customFormat="1">
      <c r="A292" s="90">
        <v>924</v>
      </c>
      <c r="B292" s="151" t="s">
        <v>291</v>
      </c>
      <c r="C292" s="395">
        <v>2936</v>
      </c>
      <c r="D292" s="134">
        <v>81.666666666666671</v>
      </c>
      <c r="E292" s="41">
        <v>1237</v>
      </c>
      <c r="F292" s="332">
        <f t="shared" si="9"/>
        <v>6.6019940716787934E-2</v>
      </c>
      <c r="G292" s="377">
        <f>Muut[[#This Row],[Keskim. työttömyysaste 2023, %]]/$F$12</f>
        <v>0.67187769139271314</v>
      </c>
      <c r="H292" s="166">
        <v>0</v>
      </c>
      <c r="I292" s="383">
        <v>50</v>
      </c>
      <c r="J292" s="389">
        <v>87</v>
      </c>
      <c r="K292" s="269">
        <v>502.12</v>
      </c>
      <c r="L292" s="170">
        <f t="shared" si="10"/>
        <v>5.8472078387636417</v>
      </c>
      <c r="M292" s="377">
        <v>3.1516648590176173</v>
      </c>
      <c r="N292" s="166">
        <v>0</v>
      </c>
      <c r="O292" s="397">
        <v>0</v>
      </c>
      <c r="P292" s="269">
        <v>766</v>
      </c>
      <c r="Q292" s="15">
        <v>79</v>
      </c>
      <c r="R292" s="158">
        <v>0.10313315926892951</v>
      </c>
      <c r="S292" s="401">
        <v>0.73790275483194945</v>
      </c>
      <c r="T292" s="153">
        <v>133</v>
      </c>
      <c r="U292" s="197">
        <v>136190.57554917858</v>
      </c>
      <c r="V292" s="159">
        <v>0</v>
      </c>
      <c r="W292" s="159">
        <v>0</v>
      </c>
      <c r="X292" s="159">
        <v>154086.56999999998</v>
      </c>
      <c r="Y292" s="159">
        <v>382993.59139927424</v>
      </c>
      <c r="Z292" s="159">
        <v>0</v>
      </c>
      <c r="AA292" s="155">
        <v>0</v>
      </c>
      <c r="AB292" s="159">
        <v>61398.113715208339</v>
      </c>
      <c r="AC292" s="159">
        <v>112329.14</v>
      </c>
      <c r="AD292" s="174">
        <f>SUM(Muut[[#This Row],[Työttömyysaste]:[Työttömät ja palveluissa olevat ]])</f>
        <v>846997.99066366127</v>
      </c>
      <c r="AF292" s="62"/>
    </row>
    <row r="293" spans="1:32" s="45" customFormat="1">
      <c r="A293" s="90">
        <v>925</v>
      </c>
      <c r="B293" s="151" t="s">
        <v>292</v>
      </c>
      <c r="C293" s="395">
        <v>3387</v>
      </c>
      <c r="D293" s="134">
        <v>120.58333333333333</v>
      </c>
      <c r="E293" s="41">
        <v>1617</v>
      </c>
      <c r="F293" s="332">
        <f t="shared" si="9"/>
        <v>7.457225314368171E-2</v>
      </c>
      <c r="G293" s="377">
        <f>Muut[[#This Row],[Keskim. työttömyysaste 2023, %]]/$F$12</f>
        <v>0.75891363639757514</v>
      </c>
      <c r="H293" s="166">
        <v>0</v>
      </c>
      <c r="I293" s="383">
        <v>5</v>
      </c>
      <c r="J293" s="389">
        <v>151</v>
      </c>
      <c r="K293" s="269">
        <v>925.28</v>
      </c>
      <c r="L293" s="170">
        <f t="shared" si="10"/>
        <v>3.6605135742694106</v>
      </c>
      <c r="M293" s="377">
        <v>5.0343863217285811</v>
      </c>
      <c r="N293" s="166">
        <v>0</v>
      </c>
      <c r="O293" s="397">
        <v>0</v>
      </c>
      <c r="P293" s="269">
        <v>955</v>
      </c>
      <c r="Q293" s="15">
        <v>148</v>
      </c>
      <c r="R293" s="158">
        <v>0.1549738219895288</v>
      </c>
      <c r="S293" s="401">
        <v>1.1088151568664384</v>
      </c>
      <c r="T293" s="153">
        <v>163</v>
      </c>
      <c r="U293" s="197">
        <v>177463.21118648167</v>
      </c>
      <c r="V293" s="159">
        <v>0</v>
      </c>
      <c r="W293" s="159">
        <v>0</v>
      </c>
      <c r="X293" s="159">
        <v>267437.61</v>
      </c>
      <c r="Y293" s="159">
        <v>705760.19726344384</v>
      </c>
      <c r="Z293" s="159">
        <v>0</v>
      </c>
      <c r="AA293" s="155">
        <v>0</v>
      </c>
      <c r="AB293" s="159">
        <v>106432.48357492981</v>
      </c>
      <c r="AC293" s="159">
        <v>137666.54</v>
      </c>
      <c r="AD293" s="174">
        <f>SUM(Muut[[#This Row],[Työttömyysaste]:[Työttömät ja palveluissa olevat ]])</f>
        <v>1394760.0420248553</v>
      </c>
      <c r="AF293" s="62"/>
    </row>
    <row r="294" spans="1:32" s="45" customFormat="1">
      <c r="A294" s="90">
        <v>927</v>
      </c>
      <c r="B294" s="151" t="s">
        <v>293</v>
      </c>
      <c r="C294" s="395">
        <v>28811</v>
      </c>
      <c r="D294" s="134">
        <v>1077.75</v>
      </c>
      <c r="E294" s="41">
        <v>14545</v>
      </c>
      <c r="F294" s="332">
        <f t="shared" si="9"/>
        <v>7.4097628050876593E-2</v>
      </c>
      <c r="G294" s="377">
        <f>Muut[[#This Row],[Keskim. työttömyysaste 2023, %]]/$F$12</f>
        <v>0.75408342891527935</v>
      </c>
      <c r="H294" s="166">
        <v>0</v>
      </c>
      <c r="I294" s="383">
        <v>487</v>
      </c>
      <c r="J294" s="389">
        <v>2001</v>
      </c>
      <c r="K294" s="269">
        <v>522.02</v>
      </c>
      <c r="L294" s="170">
        <f t="shared" si="10"/>
        <v>55.19137197808513</v>
      </c>
      <c r="M294" s="377">
        <v>0.3339007313701336</v>
      </c>
      <c r="N294" s="166">
        <v>0</v>
      </c>
      <c r="O294" s="397">
        <v>0</v>
      </c>
      <c r="P294" s="269">
        <v>9767</v>
      </c>
      <c r="Q294" s="15">
        <v>1433</v>
      </c>
      <c r="R294" s="158">
        <v>0.14671854202928228</v>
      </c>
      <c r="S294" s="401">
        <v>1.0497498294028389</v>
      </c>
      <c r="T294" s="153">
        <v>1487</v>
      </c>
      <c r="U294" s="197">
        <v>1499955.9751698091</v>
      </c>
      <c r="V294" s="159">
        <v>0</v>
      </c>
      <c r="W294" s="159">
        <v>0</v>
      </c>
      <c r="X294" s="159">
        <v>3543991.11</v>
      </c>
      <c r="Y294" s="159">
        <v>398172.3782805886</v>
      </c>
      <c r="Z294" s="159">
        <v>0</v>
      </c>
      <c r="AA294" s="155">
        <v>0</v>
      </c>
      <c r="AB294" s="159">
        <v>857124.66177177988</v>
      </c>
      <c r="AC294" s="159">
        <v>1255890.46</v>
      </c>
      <c r="AD294" s="174">
        <f>SUM(Muut[[#This Row],[Työttömyysaste]:[Työttömät ja palveluissa olevat ]])</f>
        <v>7555134.5852221772</v>
      </c>
      <c r="AF294" s="62"/>
    </row>
    <row r="295" spans="1:32" s="45" customFormat="1">
      <c r="A295" s="90">
        <v>931</v>
      </c>
      <c r="B295" s="151" t="s">
        <v>294</v>
      </c>
      <c r="C295" s="395">
        <v>5877</v>
      </c>
      <c r="D295" s="134">
        <v>256.83333333333331</v>
      </c>
      <c r="E295" s="41">
        <v>2410</v>
      </c>
      <c r="F295" s="332">
        <f t="shared" si="9"/>
        <v>0.10656984785615491</v>
      </c>
      <c r="G295" s="377">
        <f>Muut[[#This Row],[Keskim. työttömyysaste 2023, %]]/$F$12</f>
        <v>1.0845496462473905</v>
      </c>
      <c r="H295" s="166">
        <v>0</v>
      </c>
      <c r="I295" s="383">
        <v>10</v>
      </c>
      <c r="J295" s="389">
        <v>152</v>
      </c>
      <c r="K295" s="269">
        <v>1248.51</v>
      </c>
      <c r="L295" s="170">
        <f t="shared" si="10"/>
        <v>4.7072109955066441</v>
      </c>
      <c r="M295" s="377">
        <v>3.9149380570352443</v>
      </c>
      <c r="N295" s="166">
        <v>0</v>
      </c>
      <c r="O295" s="397">
        <v>0</v>
      </c>
      <c r="P295" s="269">
        <v>1315</v>
      </c>
      <c r="Q295" s="15">
        <v>204</v>
      </c>
      <c r="R295" s="158">
        <v>0.15513307984790875</v>
      </c>
      <c r="S295" s="401">
        <v>1.1099546236806059</v>
      </c>
      <c r="T295" s="153">
        <v>360</v>
      </c>
      <c r="U295" s="197">
        <v>440053.93662955792</v>
      </c>
      <c r="V295" s="159">
        <v>0</v>
      </c>
      <c r="W295" s="159">
        <v>0</v>
      </c>
      <c r="X295" s="159">
        <v>269208.71999999997</v>
      </c>
      <c r="Y295" s="159">
        <v>952304.88488390797</v>
      </c>
      <c r="Z295" s="159">
        <v>0</v>
      </c>
      <c r="AA295" s="155">
        <v>0</v>
      </c>
      <c r="AB295" s="159">
        <v>184867.5821843319</v>
      </c>
      <c r="AC295" s="159">
        <v>304048.8</v>
      </c>
      <c r="AD295" s="174">
        <f>SUM(Muut[[#This Row],[Työttömyysaste]:[Työttömät ja palveluissa olevat ]])</f>
        <v>2150483.9236977976</v>
      </c>
      <c r="AF295" s="62"/>
    </row>
    <row r="296" spans="1:32" s="45" customFormat="1">
      <c r="A296" s="90">
        <v>934</v>
      </c>
      <c r="B296" s="151" t="s">
        <v>295</v>
      </c>
      <c r="C296" s="395">
        <v>2656</v>
      </c>
      <c r="D296" s="134">
        <v>77</v>
      </c>
      <c r="E296" s="41">
        <v>1172</v>
      </c>
      <c r="F296" s="332">
        <f t="shared" si="9"/>
        <v>6.5699658703071678E-2</v>
      </c>
      <c r="G296" s="377">
        <f>Muut[[#This Row],[Keskim. työttömyysaste 2023, %]]/$F$12</f>
        <v>0.66861821648810205</v>
      </c>
      <c r="H296" s="166">
        <v>0</v>
      </c>
      <c r="I296" s="383">
        <v>5</v>
      </c>
      <c r="J296" s="389">
        <v>70</v>
      </c>
      <c r="K296" s="269">
        <v>287.23</v>
      </c>
      <c r="L296" s="170">
        <f t="shared" si="10"/>
        <v>9.2469449570030982</v>
      </c>
      <c r="M296" s="377">
        <v>1.9929219384881374</v>
      </c>
      <c r="N296" s="166">
        <v>0</v>
      </c>
      <c r="O296" s="397">
        <v>0</v>
      </c>
      <c r="P296" s="269">
        <v>691</v>
      </c>
      <c r="Q296" s="15">
        <v>77</v>
      </c>
      <c r="R296" s="158">
        <v>0.11143270622286541</v>
      </c>
      <c r="S296" s="401">
        <v>0.79728480619718334</v>
      </c>
      <c r="T296" s="153">
        <v>112</v>
      </c>
      <c r="U296" s="197">
        <v>122604.68282579524</v>
      </c>
      <c r="V296" s="159">
        <v>0</v>
      </c>
      <c r="W296" s="159">
        <v>0</v>
      </c>
      <c r="X296" s="159">
        <v>123977.7</v>
      </c>
      <c r="Y296" s="159">
        <v>219085.57567436778</v>
      </c>
      <c r="Z296" s="159">
        <v>0</v>
      </c>
      <c r="AA296" s="155">
        <v>0</v>
      </c>
      <c r="AB296" s="159">
        <v>60012.45653866043</v>
      </c>
      <c r="AC296" s="159">
        <v>94592.960000000006</v>
      </c>
      <c r="AD296" s="174">
        <f>SUM(Muut[[#This Row],[Työttömyysaste]:[Työttömät ja palveluissa olevat ]])</f>
        <v>620273.37503882346</v>
      </c>
      <c r="AF296" s="62"/>
    </row>
    <row r="297" spans="1:32" s="45" customFormat="1">
      <c r="A297" s="90">
        <v>935</v>
      </c>
      <c r="B297" s="151" t="s">
        <v>296</v>
      </c>
      <c r="C297" s="395">
        <v>2927</v>
      </c>
      <c r="D297" s="134">
        <v>156.08333333333334</v>
      </c>
      <c r="E297" s="41">
        <v>1291</v>
      </c>
      <c r="F297" s="332">
        <f t="shared" si="9"/>
        <v>0.12090111025045186</v>
      </c>
      <c r="G297" s="377">
        <f>Muut[[#This Row],[Keskim. työttömyysaste 2023, %]]/$F$12</f>
        <v>1.2303973308663341</v>
      </c>
      <c r="H297" s="166">
        <v>0</v>
      </c>
      <c r="I297" s="383">
        <v>11</v>
      </c>
      <c r="J297" s="389">
        <v>202</v>
      </c>
      <c r="K297" s="269">
        <v>372.56</v>
      </c>
      <c r="L297" s="170">
        <f t="shared" si="10"/>
        <v>7.8564526519218383</v>
      </c>
      <c r="M297" s="377">
        <v>2.3456438020148664</v>
      </c>
      <c r="N297" s="166">
        <v>0</v>
      </c>
      <c r="O297" s="397">
        <v>0</v>
      </c>
      <c r="P297" s="269">
        <v>791</v>
      </c>
      <c r="Q297" s="15">
        <v>122</v>
      </c>
      <c r="R297" s="158">
        <v>0.15423514538558786</v>
      </c>
      <c r="S297" s="401">
        <v>1.1035300331987283</v>
      </c>
      <c r="T297" s="153">
        <v>223</v>
      </c>
      <c r="U297" s="197">
        <v>248638.79105325529</v>
      </c>
      <c r="V297" s="159">
        <v>0</v>
      </c>
      <c r="W297" s="159">
        <v>0</v>
      </c>
      <c r="X297" s="159">
        <v>357764.22</v>
      </c>
      <c r="Y297" s="159">
        <v>284171.2985177121</v>
      </c>
      <c r="Z297" s="159">
        <v>0</v>
      </c>
      <c r="AA297" s="155">
        <v>0</v>
      </c>
      <c r="AB297" s="159">
        <v>91539.118419273684</v>
      </c>
      <c r="AC297" s="159">
        <v>188341.34</v>
      </c>
      <c r="AD297" s="174">
        <f>SUM(Muut[[#This Row],[Työttömyysaste]:[Työttömät ja palveluissa olevat ]])</f>
        <v>1170454.7679902411</v>
      </c>
      <c r="AF297" s="62"/>
    </row>
    <row r="298" spans="1:32" s="45" customFormat="1">
      <c r="A298" s="90">
        <v>936</v>
      </c>
      <c r="B298" s="151" t="s">
        <v>297</v>
      </c>
      <c r="C298" s="395">
        <v>6275</v>
      </c>
      <c r="D298" s="134">
        <v>208.33333333333334</v>
      </c>
      <c r="E298" s="41">
        <v>2554</v>
      </c>
      <c r="F298" s="332">
        <f t="shared" si="9"/>
        <v>8.1571391281649697E-2</v>
      </c>
      <c r="G298" s="377">
        <f>Muut[[#This Row],[Keskim. työttömyysaste 2023, %]]/$F$12</f>
        <v>0.83014309711535539</v>
      </c>
      <c r="H298" s="166">
        <v>0</v>
      </c>
      <c r="I298" s="383">
        <v>9</v>
      </c>
      <c r="J298" s="389">
        <v>214</v>
      </c>
      <c r="K298" s="269">
        <v>1162.52</v>
      </c>
      <c r="L298" s="170">
        <f t="shared" si="10"/>
        <v>5.3977565977359534</v>
      </c>
      <c r="M298" s="377">
        <v>3.4140923428324621</v>
      </c>
      <c r="N298" s="166">
        <v>0</v>
      </c>
      <c r="O298" s="397">
        <v>0</v>
      </c>
      <c r="P298" s="269">
        <v>1489</v>
      </c>
      <c r="Q298" s="15">
        <v>217</v>
      </c>
      <c r="R298" s="158">
        <v>0.14573539288112827</v>
      </c>
      <c r="S298" s="401">
        <v>1.042715540237491</v>
      </c>
      <c r="T298" s="153">
        <v>315</v>
      </c>
      <c r="U298" s="197">
        <v>359639.57339089701</v>
      </c>
      <c r="V298" s="159">
        <v>0</v>
      </c>
      <c r="W298" s="159">
        <v>0</v>
      </c>
      <c r="X298" s="159">
        <v>379017.54</v>
      </c>
      <c r="Y298" s="159">
        <v>886715.74498821842</v>
      </c>
      <c r="Z298" s="159">
        <v>0</v>
      </c>
      <c r="AA298" s="155">
        <v>0</v>
      </c>
      <c r="AB298" s="159">
        <v>185429.75402482387</v>
      </c>
      <c r="AC298" s="159">
        <v>266042.7</v>
      </c>
      <c r="AD298" s="174">
        <f>SUM(Muut[[#This Row],[Työttömyysaste]:[Työttömät ja palveluissa olevat ]])</f>
        <v>2076845.3124039392</v>
      </c>
      <c r="AF298" s="62"/>
    </row>
    <row r="299" spans="1:32" s="45" customFormat="1">
      <c r="A299" s="90">
        <v>946</v>
      </c>
      <c r="B299" s="151" t="s">
        <v>298</v>
      </c>
      <c r="C299" s="395">
        <v>6291</v>
      </c>
      <c r="D299" s="134">
        <v>139.58333333333334</v>
      </c>
      <c r="E299" s="41">
        <v>2835</v>
      </c>
      <c r="F299" s="332">
        <f t="shared" si="9"/>
        <v>4.9235743680188127E-2</v>
      </c>
      <c r="G299" s="377">
        <f>Muut[[#This Row],[Keskim. työttömyysaste 2023, %]]/$F$12</f>
        <v>0.50106676011352869</v>
      </c>
      <c r="H299" s="166">
        <v>3</v>
      </c>
      <c r="I299" s="383">
        <v>5091</v>
      </c>
      <c r="J299" s="389">
        <v>431</v>
      </c>
      <c r="K299" s="269">
        <v>782.14</v>
      </c>
      <c r="L299" s="170">
        <f t="shared" si="10"/>
        <v>8.0433170532129807</v>
      </c>
      <c r="M299" s="377">
        <v>2.2911492045986552</v>
      </c>
      <c r="N299" s="166">
        <v>3</v>
      </c>
      <c r="O299" s="397">
        <v>495</v>
      </c>
      <c r="P299" s="269">
        <v>1814</v>
      </c>
      <c r="Q299" s="15">
        <v>219</v>
      </c>
      <c r="R299" s="158">
        <v>0.1207276736493936</v>
      </c>
      <c r="S299" s="401">
        <v>0.86378894626937353</v>
      </c>
      <c r="T299" s="153">
        <v>214</v>
      </c>
      <c r="U299" s="197">
        <v>217628.64660283539</v>
      </c>
      <c r="V299" s="159">
        <v>129046.02480000001</v>
      </c>
      <c r="W299" s="159">
        <v>1387435.9752000002</v>
      </c>
      <c r="X299" s="159">
        <v>763348.40999999992</v>
      </c>
      <c r="Y299" s="159">
        <v>596579.71715332649</v>
      </c>
      <c r="Z299" s="159">
        <v>0</v>
      </c>
      <c r="AA299" s="155">
        <v>146044.80000000002</v>
      </c>
      <c r="AB299" s="159">
        <v>154002.28803619102</v>
      </c>
      <c r="AC299" s="159">
        <v>180740.12</v>
      </c>
      <c r="AD299" s="174">
        <f>SUM(Muut[[#This Row],[Työttömyysaste]:[Työttömät ja palveluissa olevat ]])</f>
        <v>3574825.9817923531</v>
      </c>
      <c r="AF299" s="62"/>
    </row>
    <row r="300" spans="1:32" s="45" customFormat="1">
      <c r="A300" s="90">
        <v>976</v>
      </c>
      <c r="B300" s="151" t="s">
        <v>299</v>
      </c>
      <c r="C300" s="395">
        <v>3765</v>
      </c>
      <c r="D300" s="134">
        <v>170.5</v>
      </c>
      <c r="E300" s="41">
        <v>1476</v>
      </c>
      <c r="F300" s="332">
        <f t="shared" si="9"/>
        <v>0.11551490514905149</v>
      </c>
      <c r="G300" s="377">
        <f>Muut[[#This Row],[Keskim. työttömyysaste 2023, %]]/$F$12</f>
        <v>1.1755825126522319</v>
      </c>
      <c r="H300" s="166">
        <v>0</v>
      </c>
      <c r="I300" s="383">
        <v>27</v>
      </c>
      <c r="J300" s="389">
        <v>140</v>
      </c>
      <c r="K300" s="269">
        <v>2030.46</v>
      </c>
      <c r="L300" s="170">
        <f t="shared" si="10"/>
        <v>1.8542596258975799</v>
      </c>
      <c r="M300" s="377">
        <v>9.938435379502577</v>
      </c>
      <c r="N300" s="166">
        <v>0</v>
      </c>
      <c r="O300" s="397">
        <v>0</v>
      </c>
      <c r="P300" s="269">
        <v>806</v>
      </c>
      <c r="Q300" s="15">
        <v>138</v>
      </c>
      <c r="R300" s="158">
        <v>0.17121588089330025</v>
      </c>
      <c r="S300" s="401">
        <v>1.2250247260699141</v>
      </c>
      <c r="T300" s="153">
        <v>270</v>
      </c>
      <c r="U300" s="197">
        <v>305575.74577576551</v>
      </c>
      <c r="V300" s="159">
        <v>0</v>
      </c>
      <c r="W300" s="159">
        <v>0</v>
      </c>
      <c r="X300" s="159">
        <v>247955.4</v>
      </c>
      <c r="Y300" s="159">
        <v>1548739.678946408</v>
      </c>
      <c r="Z300" s="159">
        <v>0</v>
      </c>
      <c r="AA300" s="155">
        <v>0</v>
      </c>
      <c r="AB300" s="159">
        <v>130710.26077413245</v>
      </c>
      <c r="AC300" s="159">
        <v>228036.6</v>
      </c>
      <c r="AD300" s="174">
        <f>SUM(Muut[[#This Row],[Työttömyysaste]:[Työttömät ja palveluissa olevat ]])</f>
        <v>2461017.685496306</v>
      </c>
      <c r="AF300" s="62"/>
    </row>
    <row r="301" spans="1:32" s="45" customFormat="1">
      <c r="A301" s="90">
        <v>977</v>
      </c>
      <c r="B301" s="151" t="s">
        <v>300</v>
      </c>
      <c r="C301" s="395">
        <v>15369</v>
      </c>
      <c r="D301" s="134">
        <v>583.33333333333337</v>
      </c>
      <c r="E301" s="41">
        <v>6976</v>
      </c>
      <c r="F301" s="332">
        <f t="shared" si="9"/>
        <v>8.3620030581039756E-2</v>
      </c>
      <c r="G301" s="377">
        <f>Muut[[#This Row],[Keskim. työttömyysaste 2023, %]]/$F$12</f>
        <v>0.85099187443969748</v>
      </c>
      <c r="H301" s="166">
        <v>0</v>
      </c>
      <c r="I301" s="383">
        <v>40</v>
      </c>
      <c r="J301" s="389">
        <v>329</v>
      </c>
      <c r="K301" s="269">
        <v>569.84</v>
      </c>
      <c r="L301" s="170">
        <f t="shared" si="10"/>
        <v>26.97072862557911</v>
      </c>
      <c r="M301" s="377">
        <v>0.68327555123320394</v>
      </c>
      <c r="N301" s="166">
        <v>0</v>
      </c>
      <c r="O301" s="397">
        <v>0</v>
      </c>
      <c r="P301" s="269">
        <v>4644</v>
      </c>
      <c r="Q301" s="15">
        <v>407</v>
      </c>
      <c r="R301" s="158">
        <v>8.7639965546942297E-2</v>
      </c>
      <c r="S301" s="401">
        <v>0.62705120708882078</v>
      </c>
      <c r="T301" s="153">
        <v>786</v>
      </c>
      <c r="U301" s="197">
        <v>902966.84992492665</v>
      </c>
      <c r="V301" s="159">
        <v>0</v>
      </c>
      <c r="W301" s="159">
        <v>0</v>
      </c>
      <c r="X301" s="159">
        <v>582695.18999999994</v>
      </c>
      <c r="Y301" s="159">
        <v>434647.23198231973</v>
      </c>
      <c r="Z301" s="159">
        <v>0</v>
      </c>
      <c r="AA301" s="155">
        <v>0</v>
      </c>
      <c r="AB301" s="159">
        <v>273116.83104954078</v>
      </c>
      <c r="AC301" s="159">
        <v>663839.88</v>
      </c>
      <c r="AD301" s="174">
        <f>SUM(Muut[[#This Row],[Työttömyysaste]:[Työttömät ja palveluissa olevat ]])</f>
        <v>2857265.9829567866</v>
      </c>
      <c r="AF301" s="62"/>
    </row>
    <row r="302" spans="1:32" s="45" customFormat="1">
      <c r="A302" s="90">
        <v>980</v>
      </c>
      <c r="B302" s="151" t="s">
        <v>301</v>
      </c>
      <c r="C302" s="395">
        <v>33677</v>
      </c>
      <c r="D302" s="134">
        <v>979.91666666666663</v>
      </c>
      <c r="E302" s="41">
        <v>16356</v>
      </c>
      <c r="F302" s="332">
        <f t="shared" si="9"/>
        <v>5.9911755115350122E-2</v>
      </c>
      <c r="G302" s="377">
        <f>Muut[[#This Row],[Keskim. työttömyysaste 2023, %]]/$F$12</f>
        <v>0.60971535686264489</v>
      </c>
      <c r="H302" s="166">
        <v>0</v>
      </c>
      <c r="I302" s="383">
        <v>125</v>
      </c>
      <c r="J302" s="389">
        <v>1037</v>
      </c>
      <c r="K302" s="269">
        <v>1115.75</v>
      </c>
      <c r="L302" s="170">
        <f t="shared" si="10"/>
        <v>30.183284786018373</v>
      </c>
      <c r="M302" s="377">
        <v>0.61055115768381241</v>
      </c>
      <c r="N302" s="166">
        <v>0</v>
      </c>
      <c r="O302" s="397">
        <v>0</v>
      </c>
      <c r="P302" s="269">
        <v>11303</v>
      </c>
      <c r="Q302" s="15">
        <v>930</v>
      </c>
      <c r="R302" s="158">
        <v>8.2279040962576308E-2</v>
      </c>
      <c r="S302" s="401">
        <v>0.58869457138318171</v>
      </c>
      <c r="T302" s="153">
        <v>1544</v>
      </c>
      <c r="U302" s="197">
        <v>1417624.8364042898</v>
      </c>
      <c r="V302" s="159">
        <v>0</v>
      </c>
      <c r="W302" s="159">
        <v>0</v>
      </c>
      <c r="X302" s="159">
        <v>1836641.0699999998</v>
      </c>
      <c r="Y302" s="159">
        <v>851041.78205158166</v>
      </c>
      <c r="Z302" s="159">
        <v>0</v>
      </c>
      <c r="AA302" s="155">
        <v>0</v>
      </c>
      <c r="AB302" s="159">
        <v>561853.7370605598</v>
      </c>
      <c r="AC302" s="159">
        <v>1304031.52</v>
      </c>
      <c r="AD302" s="174">
        <f>SUM(Muut[[#This Row],[Työttömyysaste]:[Työttömät ja palveluissa olevat ]])</f>
        <v>5971192.9455164317</v>
      </c>
      <c r="AF302" s="62"/>
    </row>
    <row r="303" spans="1:32" s="45" customFormat="1">
      <c r="A303" s="90">
        <v>981</v>
      </c>
      <c r="B303" s="151" t="s">
        <v>302</v>
      </c>
      <c r="C303" s="395">
        <v>2207</v>
      </c>
      <c r="D303" s="134">
        <v>79.25</v>
      </c>
      <c r="E303" s="41">
        <v>1059</v>
      </c>
      <c r="F303" s="332">
        <f t="shared" si="9"/>
        <v>7.4834749763928232E-2</v>
      </c>
      <c r="G303" s="377">
        <f>Muut[[#This Row],[Keskim. työttömyysaste 2023, %]]/$F$12</f>
        <v>0.76158503569443603</v>
      </c>
      <c r="H303" s="166">
        <v>0</v>
      </c>
      <c r="I303" s="383">
        <v>11</v>
      </c>
      <c r="J303" s="389">
        <v>50</v>
      </c>
      <c r="K303" s="269">
        <v>182.76</v>
      </c>
      <c r="L303" s="170">
        <f t="shared" si="10"/>
        <v>12.075946596629461</v>
      </c>
      <c r="M303" s="377">
        <v>1.5260451279196048</v>
      </c>
      <c r="N303" s="166">
        <v>0</v>
      </c>
      <c r="O303" s="397">
        <v>0</v>
      </c>
      <c r="P303" s="269">
        <v>629</v>
      </c>
      <c r="Q303" s="15">
        <v>83</v>
      </c>
      <c r="R303" s="158">
        <v>0.13195548489666137</v>
      </c>
      <c r="S303" s="401">
        <v>0.94412230276520259</v>
      </c>
      <c r="T303" s="153">
        <v>117</v>
      </c>
      <c r="U303" s="197">
        <v>116043.68671760692</v>
      </c>
      <c r="V303" s="159">
        <v>0</v>
      </c>
      <c r="W303" s="159">
        <v>0</v>
      </c>
      <c r="X303" s="159">
        <v>88555.5</v>
      </c>
      <c r="Y303" s="159">
        <v>139400.75831301551</v>
      </c>
      <c r="Z303" s="159">
        <v>0</v>
      </c>
      <c r="AA303" s="155">
        <v>0</v>
      </c>
      <c r="AB303" s="159">
        <v>59051.432315227416</v>
      </c>
      <c r="AC303" s="159">
        <v>98815.86</v>
      </c>
      <c r="AD303" s="174">
        <f>SUM(Muut[[#This Row],[Työttömyysaste]:[Työttömät ja palveluissa olevat ]])</f>
        <v>501867.2373458498</v>
      </c>
      <c r="AF303" s="62"/>
    </row>
    <row r="304" spans="1:32" s="45" customFormat="1">
      <c r="A304" s="90">
        <v>989</v>
      </c>
      <c r="B304" s="151" t="s">
        <v>303</v>
      </c>
      <c r="C304" s="395">
        <v>5316</v>
      </c>
      <c r="D304" s="134">
        <v>207.75</v>
      </c>
      <c r="E304" s="41">
        <v>2202</v>
      </c>
      <c r="F304" s="332">
        <f t="shared" si="9"/>
        <v>9.4346049046321531E-2</v>
      </c>
      <c r="G304" s="377">
        <f>Muut[[#This Row],[Keskim. työttömyysaste 2023, %]]/$F$12</f>
        <v>0.96014938724637899</v>
      </c>
      <c r="H304" s="166">
        <v>0</v>
      </c>
      <c r="I304" s="383">
        <v>6</v>
      </c>
      <c r="J304" s="389">
        <v>147</v>
      </c>
      <c r="K304" s="269">
        <v>805.79</v>
      </c>
      <c r="L304" s="170">
        <f t="shared" si="10"/>
        <v>6.5972523858573577</v>
      </c>
      <c r="M304" s="377">
        <v>2.7933506846439706</v>
      </c>
      <c r="N304" s="166">
        <v>0</v>
      </c>
      <c r="O304" s="397">
        <v>0</v>
      </c>
      <c r="P304" s="269">
        <v>1360</v>
      </c>
      <c r="Q304" s="15">
        <v>168</v>
      </c>
      <c r="R304" s="158">
        <v>0.12352941176470589</v>
      </c>
      <c r="S304" s="401">
        <v>0.88383497499826802</v>
      </c>
      <c r="T304" s="153">
        <v>309</v>
      </c>
      <c r="U304" s="197">
        <v>352390.80200522486</v>
      </c>
      <c r="V304" s="159">
        <v>0</v>
      </c>
      <c r="W304" s="159">
        <v>0</v>
      </c>
      <c r="X304" s="159">
        <v>260353.16999999998</v>
      </c>
      <c r="Y304" s="159">
        <v>614618.82819569251</v>
      </c>
      <c r="Z304" s="159">
        <v>0</v>
      </c>
      <c r="AA304" s="155">
        <v>0</v>
      </c>
      <c r="AB304" s="159">
        <v>133154.54704575308</v>
      </c>
      <c r="AC304" s="159">
        <v>260975.22</v>
      </c>
      <c r="AD304" s="174">
        <f>SUM(Muut[[#This Row],[Työttömyysaste]:[Työttömät ja palveluissa olevat ]])</f>
        <v>1621492.5672466704</v>
      </c>
      <c r="AF304" s="62"/>
    </row>
    <row r="305" spans="1:32">
      <c r="A305" s="90">
        <v>992</v>
      </c>
      <c r="B305" s="151" t="s">
        <v>304</v>
      </c>
      <c r="C305" s="396">
        <v>17971</v>
      </c>
      <c r="D305" s="378">
        <v>1066.3333333333333</v>
      </c>
      <c r="E305" s="379">
        <v>7792</v>
      </c>
      <c r="F305" s="332">
        <f t="shared" si="9"/>
        <v>0.13684976043805611</v>
      </c>
      <c r="G305" s="377">
        <f>Muut[[#This Row],[Keskim. työttömyysaste 2023, %]]/$F$12</f>
        <v>1.3927049935594134</v>
      </c>
      <c r="H305" s="386">
        <v>0</v>
      </c>
      <c r="I305" s="387">
        <v>19</v>
      </c>
      <c r="J305" s="391">
        <v>495</v>
      </c>
      <c r="K305" s="394">
        <v>884.6</v>
      </c>
      <c r="L305" s="170">
        <f t="shared" si="10"/>
        <v>20.315396789509382</v>
      </c>
      <c r="M305" s="377">
        <v>0.90711688576616611</v>
      </c>
      <c r="N305" s="386">
        <v>0</v>
      </c>
      <c r="O305" s="398">
        <v>0</v>
      </c>
      <c r="P305" s="394">
        <v>4873</v>
      </c>
      <c r="Q305" s="402">
        <v>552</v>
      </c>
      <c r="R305" s="403">
        <v>0.1132772419454135</v>
      </c>
      <c r="S305" s="404">
        <v>0.81048219102183516</v>
      </c>
      <c r="T305" s="448">
        <v>1580</v>
      </c>
      <c r="U305" s="197">
        <v>1727953.9313662495</v>
      </c>
      <c r="V305" s="159">
        <v>0</v>
      </c>
      <c r="W305" s="159">
        <v>0</v>
      </c>
      <c r="X305" s="159">
        <v>876699.45</v>
      </c>
      <c r="Y305" s="159">
        <v>674731.40076435509</v>
      </c>
      <c r="Z305" s="159">
        <v>0</v>
      </c>
      <c r="AA305" s="155">
        <v>0</v>
      </c>
      <c r="AB305" s="159">
        <v>412777.07239054533</v>
      </c>
      <c r="AC305" s="159">
        <v>1334436.4000000001</v>
      </c>
      <c r="AD305" s="174">
        <f>SUM(Muut[[#This Row],[Työttömyysaste]:[Työttömät ja palveluissa olevat ]])</f>
        <v>5026598.2545211492</v>
      </c>
      <c r="AE305"/>
      <c r="AF305" s="120"/>
    </row>
  </sheetData>
  <pageMargins left="0.31496062992125984" right="0.31496062992125984" top="0.55118110236220474" bottom="0.55118110236220474" header="0.31496062992125984" footer="0.31496062992125984"/>
  <pageSetup paperSize="9" scale="75" orientation="landscape" r:id="rId1"/>
  <ignoredErrors>
    <ignoredError sqref="C12 G13:G305 C13:C305 M13:M305 S12:S13 S14:S305" calculatedColumn="1"/>
  </ignoredErrors>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0"/>
  <sheetViews>
    <sheetView zoomScale="90" zoomScaleNormal="90" workbookViewId="0">
      <pane xSplit="2" ySplit="7" topLeftCell="C8" activePane="bottomRight" state="frozen"/>
      <selection activeCell="G29" sqref="G29"/>
      <selection pane="topRight" activeCell="G29" sqref="G29"/>
      <selection pane="bottomLeft" activeCell="G29" sqref="G29"/>
      <selection pane="bottomRight"/>
    </sheetView>
  </sheetViews>
  <sheetFormatPr defaultRowHeight="15"/>
  <cols>
    <col min="1" max="1" width="10.625" style="23" customWidth="1"/>
    <col min="2" max="2" width="17.625" style="193" bestFit="1" customWidth="1"/>
    <col min="3" max="3" width="14.125" style="137" customWidth="1"/>
    <col min="4" max="4" width="15.125" style="153" customWidth="1"/>
    <col min="5" max="5" width="17.125" style="194" customWidth="1"/>
    <col min="6" max="6" width="17.375" style="153" bestFit="1" customWidth="1"/>
    <col min="7" max="7" width="19.125" style="194" bestFit="1" customWidth="1"/>
    <col min="8" max="8" width="15.375" style="14" bestFit="1" customWidth="1"/>
    <col min="9" max="9" width="16.375" style="14" bestFit="1" customWidth="1"/>
    <col min="10" max="10" width="24.625" style="194" customWidth="1"/>
    <col min="11" max="11" width="31.375" style="194" bestFit="1" customWidth="1"/>
    <col min="12" max="12" width="19.125" style="194" customWidth="1"/>
    <col min="13" max="13" width="15.125" style="194" bestFit="1" customWidth="1"/>
    <col min="14" max="14" width="21.375" style="194" customWidth="1"/>
    <col min="15" max="15" width="19.375" customWidth="1"/>
    <col min="16" max="16" width="13.375" style="137" customWidth="1"/>
    <col min="17" max="17" width="20.375" style="130" bestFit="1" customWidth="1"/>
    <col min="18" max="18" width="26.125" style="130" bestFit="1" customWidth="1"/>
    <col min="19" max="20" width="26.125" style="130" customWidth="1"/>
    <col min="21" max="21" width="12.125" style="223" bestFit="1" customWidth="1"/>
    <col min="22" max="22" width="9.875" style="11" customWidth="1"/>
    <col min="23" max="23" width="8.625" style="11"/>
    <col min="24" max="24" width="9" style="11" bestFit="1" customWidth="1"/>
    <col min="25" max="25" width="8.625" style="11"/>
  </cols>
  <sheetData>
    <row r="1" spans="1:30" ht="23.25">
      <c r="A1" s="314" t="s">
        <v>872</v>
      </c>
      <c r="D1" s="154"/>
      <c r="K1" s="225"/>
      <c r="L1" s="225"/>
      <c r="M1" s="225"/>
      <c r="P1" s="236" t="s">
        <v>373</v>
      </c>
      <c r="Q1" s="190"/>
      <c r="R1" s="190"/>
      <c r="S1" s="190"/>
      <c r="T1" s="190"/>
      <c r="U1" s="151"/>
    </row>
    <row r="2" spans="1:30">
      <c r="A2" s="23" t="s">
        <v>367</v>
      </c>
      <c r="B2" s="321"/>
      <c r="C2" s="130"/>
      <c r="D2" s="335"/>
      <c r="E2" s="335"/>
      <c r="F2" s="335"/>
      <c r="G2" s="335"/>
      <c r="H2" s="335"/>
      <c r="I2" s="335"/>
      <c r="J2" s="335"/>
      <c r="K2" s="335"/>
      <c r="L2" s="335"/>
      <c r="M2" s="335"/>
      <c r="N2" s="335"/>
      <c r="P2" s="224" t="s">
        <v>374</v>
      </c>
      <c r="Q2" s="224" t="s">
        <v>693</v>
      </c>
      <c r="R2" s="224" t="s">
        <v>667</v>
      </c>
      <c r="S2" s="344" t="s">
        <v>724</v>
      </c>
      <c r="T2" s="344" t="s">
        <v>725</v>
      </c>
      <c r="U2" s="159"/>
      <c r="AD2" s="106"/>
    </row>
    <row r="3" spans="1:30">
      <c r="C3" s="335"/>
      <c r="D3" s="335"/>
      <c r="E3" s="335"/>
      <c r="F3" s="335"/>
      <c r="G3" s="335"/>
      <c r="H3" s="335"/>
      <c r="I3" s="335"/>
      <c r="J3" s="335"/>
      <c r="K3" s="335"/>
      <c r="L3" s="335"/>
      <c r="M3" s="335"/>
      <c r="N3" s="335"/>
      <c r="O3" s="335"/>
      <c r="P3" s="188">
        <v>64.53</v>
      </c>
      <c r="Q3" s="188">
        <v>943.5</v>
      </c>
      <c r="R3" s="188">
        <v>13.51</v>
      </c>
      <c r="S3" s="343">
        <v>19.91</v>
      </c>
      <c r="T3" s="343">
        <v>10.56</v>
      </c>
      <c r="U3" s="151"/>
      <c r="V3" s="347"/>
      <c r="Z3" s="103"/>
      <c r="AA3" s="106"/>
      <c r="AD3" s="106"/>
    </row>
    <row r="4" spans="1:30">
      <c r="A4" s="227"/>
      <c r="B4" s="228"/>
      <c r="C4" s="229"/>
      <c r="D4" s="230"/>
      <c r="E4" s="230"/>
      <c r="F4" s="230"/>
      <c r="G4" s="230"/>
      <c r="H4" s="231"/>
      <c r="I4" s="231"/>
      <c r="J4" s="230"/>
      <c r="K4" s="232"/>
      <c r="L4" s="232"/>
      <c r="M4" s="232"/>
      <c r="N4" s="230"/>
      <c r="O4" s="342"/>
      <c r="P4" s="329"/>
      <c r="Q4" s="329"/>
      <c r="R4" s="329"/>
      <c r="S4" s="329"/>
      <c r="T4" s="329"/>
      <c r="U4" s="329"/>
      <c r="Z4" s="11"/>
    </row>
    <row r="5" spans="1:30">
      <c r="A5" s="227"/>
      <c r="B5" s="228"/>
      <c r="C5" s="184" t="s">
        <v>369</v>
      </c>
      <c r="D5" s="230"/>
      <c r="E5" s="230"/>
      <c r="F5" s="230"/>
      <c r="G5" s="230"/>
      <c r="H5" s="324"/>
      <c r="I5" s="324"/>
      <c r="J5" s="186"/>
      <c r="K5" s="325"/>
      <c r="L5" s="325"/>
      <c r="M5" s="325"/>
      <c r="N5" s="230"/>
      <c r="O5" s="342"/>
      <c r="P5" s="234" t="s">
        <v>696</v>
      </c>
      <c r="Q5" s="235"/>
      <c r="R5" s="235"/>
      <c r="S5" s="235"/>
      <c r="T5" s="235"/>
      <c r="U5" s="233"/>
      <c r="Z5" s="11"/>
    </row>
    <row r="6" spans="1:30" s="212" customFormat="1" ht="42.75">
      <c r="A6" s="220" t="s">
        <v>669</v>
      </c>
      <c r="B6" s="221" t="s">
        <v>3</v>
      </c>
      <c r="C6" s="405" t="s">
        <v>846</v>
      </c>
      <c r="D6" s="410" t="s">
        <v>723</v>
      </c>
      <c r="E6" s="414" t="s">
        <v>694</v>
      </c>
      <c r="F6" s="374" t="s">
        <v>866</v>
      </c>
      <c r="G6" s="415" t="s">
        <v>692</v>
      </c>
      <c r="H6" s="414" t="s">
        <v>867</v>
      </c>
      <c r="I6" s="424" t="s">
        <v>868</v>
      </c>
      <c r="J6" s="425" t="s">
        <v>869</v>
      </c>
      <c r="K6" s="415" t="s">
        <v>870</v>
      </c>
      <c r="L6" s="430" t="s">
        <v>733</v>
      </c>
      <c r="M6" s="425" t="s">
        <v>742</v>
      </c>
      <c r="N6" s="415" t="s">
        <v>728</v>
      </c>
      <c r="O6" s="437" t="s">
        <v>871</v>
      </c>
      <c r="P6" s="226" t="s">
        <v>374</v>
      </c>
      <c r="Q6" s="216" t="s">
        <v>693</v>
      </c>
      <c r="R6" s="216" t="s">
        <v>695</v>
      </c>
      <c r="S6" s="216" t="s">
        <v>726</v>
      </c>
      <c r="T6" s="216" t="s">
        <v>725</v>
      </c>
      <c r="U6" s="217" t="s">
        <v>375</v>
      </c>
      <c r="V6" s="222"/>
      <c r="W6" s="222"/>
      <c r="X6" s="222"/>
      <c r="Y6" s="222"/>
    </row>
    <row r="7" spans="1:30" s="31" customFormat="1">
      <c r="B7" s="193" t="s">
        <v>371</v>
      </c>
      <c r="C7" s="406">
        <f>SUM(C8:C300)</f>
        <v>5573310</v>
      </c>
      <c r="D7" s="411"/>
      <c r="E7" s="416"/>
      <c r="F7" s="164">
        <f>SUM(F8:F300)</f>
        <v>2051</v>
      </c>
      <c r="G7" s="417">
        <v>3.6800393303082008E-4</v>
      </c>
      <c r="H7" s="169">
        <f>SUM(H8:H300)</f>
        <v>2408093</v>
      </c>
      <c r="I7" s="164">
        <f>SUM(I8:I300)</f>
        <v>2409109</v>
      </c>
      <c r="J7" s="346">
        <v>0.9995782673179171</v>
      </c>
      <c r="K7" s="426">
        <v>1</v>
      </c>
      <c r="L7" s="431"/>
      <c r="M7" s="14">
        <f>SUM(M8:M300)</f>
        <v>3763828.5078579835</v>
      </c>
      <c r="N7" s="432">
        <f>M7/C7</f>
        <v>0.67533090889578784</v>
      </c>
      <c r="O7" s="438">
        <v>0.12156988932900219</v>
      </c>
      <c r="P7" s="196">
        <f>SUM(P8:P300)</f>
        <v>66642459.299401507</v>
      </c>
      <c r="Q7" s="29">
        <f>SUM(Q8:Q300)</f>
        <v>1202962.5</v>
      </c>
      <c r="R7" s="29">
        <f>SUM(R8:R300)</f>
        <v>75068146.945979536</v>
      </c>
      <c r="S7" s="29">
        <f t="shared" ref="S7:T7" si="0">SUM(S8:S300)</f>
        <v>110964602.09999985</v>
      </c>
      <c r="T7" s="29">
        <f t="shared" si="0"/>
        <v>42334867.25127846</v>
      </c>
      <c r="U7" s="178">
        <f>SUM(U8:U300)</f>
        <v>296213038.0966596</v>
      </c>
      <c r="V7" s="30"/>
      <c r="W7" s="30"/>
      <c r="X7" s="107"/>
      <c r="Y7" s="107"/>
    </row>
    <row r="8" spans="1:30">
      <c r="A8" s="23">
        <v>5</v>
      </c>
      <c r="B8" s="193" t="s">
        <v>12</v>
      </c>
      <c r="C8" s="407">
        <v>9113</v>
      </c>
      <c r="D8" s="412">
        <v>0.6011333333333333</v>
      </c>
      <c r="E8" s="418">
        <v>0</v>
      </c>
      <c r="F8" s="155">
        <v>0</v>
      </c>
      <c r="G8" s="419">
        <v>0</v>
      </c>
      <c r="H8" s="256">
        <v>3344</v>
      </c>
      <c r="I8" s="14">
        <v>3360</v>
      </c>
      <c r="J8" s="330">
        <v>0.99523809523809526</v>
      </c>
      <c r="K8" s="427">
        <v>0.99565799675550426</v>
      </c>
      <c r="L8" s="433">
        <v>0.59300147400000003</v>
      </c>
      <c r="M8" s="14">
        <f>Lisäosat[[#This Row],[HYTE-kerroin (sis. Kulttuurihyte)]]*Lisäosat[[#This Row],[Asukasmäärä 31.12.2023]]</f>
        <v>5404.0224325620002</v>
      </c>
      <c r="N8" s="427">
        <f>Lisäosat[[#This Row],[HYTE-kerroin (sis. Kulttuurihyte)]]/$N$7</f>
        <v>0.8780902313054173</v>
      </c>
      <c r="O8" s="439">
        <v>0</v>
      </c>
      <c r="P8" s="136">
        <v>353503.60414199997</v>
      </c>
      <c r="Q8" s="35">
        <v>0</v>
      </c>
      <c r="R8" s="35">
        <v>122582.05719308861</v>
      </c>
      <c r="S8" s="35">
        <v>159320.5422927156</v>
      </c>
      <c r="T8" s="35">
        <v>0</v>
      </c>
      <c r="U8" s="309">
        <f>SUM(P8:T8)</f>
        <v>635406.20362780418</v>
      </c>
      <c r="X8" s="10"/>
      <c r="Y8" s="10"/>
      <c r="Z8" s="108"/>
    </row>
    <row r="9" spans="1:30">
      <c r="A9" s="23">
        <v>9</v>
      </c>
      <c r="B9" s="193" t="s">
        <v>13</v>
      </c>
      <c r="C9" s="407">
        <v>2437</v>
      </c>
      <c r="D9" s="412">
        <v>2.8199999999999999E-2</v>
      </c>
      <c r="E9" s="418">
        <v>0</v>
      </c>
      <c r="F9" s="155">
        <v>0</v>
      </c>
      <c r="G9" s="419">
        <v>0</v>
      </c>
      <c r="H9" s="256">
        <v>693</v>
      </c>
      <c r="I9" s="14">
        <v>952</v>
      </c>
      <c r="J9" s="330">
        <v>0.7279411764705882</v>
      </c>
      <c r="K9" s="427">
        <v>0.72824830258045781</v>
      </c>
      <c r="L9" s="433">
        <v>0.65381176200000002</v>
      </c>
      <c r="M9" s="14">
        <f>Lisäosat[[#This Row],[HYTE-kerroin (sis. Kulttuurihyte)]]*Lisäosat[[#This Row],[Asukasmäärä 31.12.2023]]</f>
        <v>1593.339263994</v>
      </c>
      <c r="N9" s="427">
        <f>Lisäosat[[#This Row],[HYTE-kerroin (sis. Kulttuurihyte)]]/$N$7</f>
        <v>0.96813540352984417</v>
      </c>
      <c r="O9" s="439">
        <v>0</v>
      </c>
      <c r="P9" s="136">
        <v>4434.7210020000002</v>
      </c>
      <c r="Q9" s="35">
        <v>0</v>
      </c>
      <c r="R9" s="35">
        <v>23976.752441879657</v>
      </c>
      <c r="S9" s="35">
        <v>46974.578429988404</v>
      </c>
      <c r="T9" s="35">
        <v>0</v>
      </c>
      <c r="U9" s="309">
        <f>SUM(P9:T9)</f>
        <v>75386.051873868069</v>
      </c>
      <c r="X9" s="10"/>
      <c r="Y9" s="10"/>
      <c r="Z9" s="108"/>
    </row>
    <row r="10" spans="1:30">
      <c r="A10" s="23">
        <v>10</v>
      </c>
      <c r="B10" s="193" t="s">
        <v>14</v>
      </c>
      <c r="C10" s="407">
        <v>10933</v>
      </c>
      <c r="D10" s="412">
        <v>0.54486666666666661</v>
      </c>
      <c r="E10" s="418">
        <v>0</v>
      </c>
      <c r="F10" s="155">
        <v>1</v>
      </c>
      <c r="G10" s="419">
        <v>9.1466203237903593E-5</v>
      </c>
      <c r="H10" s="256">
        <v>4042</v>
      </c>
      <c r="I10" s="14">
        <v>4207</v>
      </c>
      <c r="J10" s="330">
        <v>0.96077965295935341</v>
      </c>
      <c r="K10" s="427">
        <v>0.96118501609416873</v>
      </c>
      <c r="L10" s="433">
        <v>0.58261744100000001</v>
      </c>
      <c r="M10" s="14">
        <f>Lisäosat[[#This Row],[HYTE-kerroin (sis. Kulttuurihyte)]]*Lisäosat[[#This Row],[Asukasmäärä 31.12.2023]]</f>
        <v>6369.756482453</v>
      </c>
      <c r="N10" s="427">
        <f>Lisäosat[[#This Row],[HYTE-kerroin (sis. Kulttuurihyte)]]/$N$7</f>
        <v>0.86271401667757119</v>
      </c>
      <c r="O10" s="439">
        <v>0</v>
      </c>
      <c r="P10" s="136">
        <v>384406.96951799997</v>
      </c>
      <c r="Q10" s="35">
        <v>0</v>
      </c>
      <c r="R10" s="35">
        <v>141971.66940073646</v>
      </c>
      <c r="S10" s="35">
        <v>187792.16217572748</v>
      </c>
      <c r="T10" s="35">
        <v>0</v>
      </c>
      <c r="U10" s="309">
        <f t="shared" ref="U10:U72" si="1">SUM(P10:T10)</f>
        <v>714170.80109446403</v>
      </c>
      <c r="X10" s="10"/>
      <c r="Y10" s="10"/>
      <c r="Z10" s="108"/>
    </row>
    <row r="11" spans="1:30">
      <c r="A11" s="23">
        <v>16</v>
      </c>
      <c r="B11" s="193" t="s">
        <v>15</v>
      </c>
      <c r="C11" s="407">
        <v>7968</v>
      </c>
      <c r="D11" s="412">
        <v>0</v>
      </c>
      <c r="E11" s="418">
        <v>0</v>
      </c>
      <c r="F11" s="155">
        <v>2</v>
      </c>
      <c r="G11" s="419">
        <v>2.5100401606425701E-4</v>
      </c>
      <c r="H11" s="256">
        <v>2318</v>
      </c>
      <c r="I11" s="14">
        <v>2947</v>
      </c>
      <c r="J11" s="330">
        <v>0.78656260604004069</v>
      </c>
      <c r="K11" s="427">
        <v>0.78689446515334605</v>
      </c>
      <c r="L11" s="433">
        <v>0.65211556400000004</v>
      </c>
      <c r="M11" s="14">
        <f>Lisäosat[[#This Row],[HYTE-kerroin (sis. Kulttuurihyte)]]*Lisäosat[[#This Row],[Asukasmäärä 31.12.2023]]</f>
        <v>5196.0568139520001</v>
      </c>
      <c r="N11" s="427">
        <f>Lisäosat[[#This Row],[HYTE-kerroin (sis. Kulttuurihyte)]]/$N$7</f>
        <v>0.9656237489059305</v>
      </c>
      <c r="O11" s="439">
        <v>0</v>
      </c>
      <c r="P11" s="136">
        <v>0</v>
      </c>
      <c r="Q11" s="35">
        <v>0</v>
      </c>
      <c r="R11" s="35">
        <v>84707.363578598553</v>
      </c>
      <c r="S11" s="35">
        <v>153189.33252283366</v>
      </c>
      <c r="T11" s="35">
        <v>0</v>
      </c>
      <c r="U11" s="309">
        <f t="shared" si="1"/>
        <v>237896.6961014322</v>
      </c>
      <c r="X11" s="10"/>
      <c r="Y11" s="10"/>
      <c r="Z11" s="108"/>
    </row>
    <row r="12" spans="1:30">
      <c r="A12" s="23">
        <v>18</v>
      </c>
      <c r="B12" s="193" t="s">
        <v>16</v>
      </c>
      <c r="C12" s="407">
        <v>4700</v>
      </c>
      <c r="D12" s="412">
        <v>0</v>
      </c>
      <c r="E12" s="418">
        <v>0</v>
      </c>
      <c r="F12" s="155">
        <v>0</v>
      </c>
      <c r="G12" s="419">
        <v>0</v>
      </c>
      <c r="H12" s="256">
        <v>1359</v>
      </c>
      <c r="I12" s="14">
        <v>2222</v>
      </c>
      <c r="J12" s="330">
        <v>0.61161116111611158</v>
      </c>
      <c r="K12" s="427">
        <v>0.61186920635759268</v>
      </c>
      <c r="L12" s="433">
        <v>0.499337792</v>
      </c>
      <c r="M12" s="14">
        <f>Lisäosat[[#This Row],[HYTE-kerroin (sis. Kulttuurihyte)]]*Lisäosat[[#This Row],[Asukasmäärä 31.12.2023]]</f>
        <v>2346.8876224000001</v>
      </c>
      <c r="N12" s="427">
        <f>Lisäosat[[#This Row],[HYTE-kerroin (sis. Kulttuurihyte)]]/$N$7</f>
        <v>0.73939721316243523</v>
      </c>
      <c r="O12" s="439">
        <v>0</v>
      </c>
      <c r="P12" s="136">
        <v>0</v>
      </c>
      <c r="Q12" s="35">
        <v>0</v>
      </c>
      <c r="R12" s="35">
        <v>38851.858996088064</v>
      </c>
      <c r="S12" s="35">
        <v>69190.573016101203</v>
      </c>
      <c r="T12" s="35">
        <v>0</v>
      </c>
      <c r="U12" s="309">
        <f t="shared" si="1"/>
        <v>108042.43201218927</v>
      </c>
      <c r="X12" s="10"/>
      <c r="Y12" s="10"/>
      <c r="Z12" s="108"/>
    </row>
    <row r="13" spans="1:30">
      <c r="A13" s="23">
        <v>19</v>
      </c>
      <c r="B13" s="193" t="s">
        <v>17</v>
      </c>
      <c r="C13" s="407">
        <v>3961</v>
      </c>
      <c r="D13" s="412">
        <v>0</v>
      </c>
      <c r="E13" s="418">
        <v>0</v>
      </c>
      <c r="F13" s="155">
        <v>0</v>
      </c>
      <c r="G13" s="419">
        <v>0</v>
      </c>
      <c r="H13" s="256">
        <v>1192</v>
      </c>
      <c r="I13" s="14">
        <v>1804</v>
      </c>
      <c r="J13" s="330">
        <v>0.6607538802660754</v>
      </c>
      <c r="K13" s="427">
        <v>0.66103265934244426</v>
      </c>
      <c r="L13" s="433">
        <v>0.43183722899999999</v>
      </c>
      <c r="M13" s="14">
        <f>Lisäosat[[#This Row],[HYTE-kerroin (sis. Kulttuurihyte)]]*Lisäosat[[#This Row],[Asukasmäärä 31.12.2023]]</f>
        <v>1710.507264069</v>
      </c>
      <c r="N13" s="427">
        <f>Lisäosat[[#This Row],[HYTE-kerroin (sis. Kulttuurihyte)]]/$N$7</f>
        <v>0.6394453790158714</v>
      </c>
      <c r="O13" s="439">
        <v>1.6975387248093405E-2</v>
      </c>
      <c r="P13" s="136">
        <v>0</v>
      </c>
      <c r="Q13" s="35">
        <v>0</v>
      </c>
      <c r="R13" s="35">
        <v>35373.913412984752</v>
      </c>
      <c r="S13" s="35">
        <v>50428.907042471968</v>
      </c>
      <c r="T13" s="35">
        <v>710.04921387521063</v>
      </c>
      <c r="U13" s="309">
        <f t="shared" si="1"/>
        <v>86512.869669331936</v>
      </c>
      <c r="X13" s="10"/>
      <c r="Y13" s="10"/>
      <c r="Z13" s="108"/>
    </row>
    <row r="14" spans="1:30">
      <c r="A14" s="23">
        <v>20</v>
      </c>
      <c r="B14" s="193" t="s">
        <v>18</v>
      </c>
      <c r="C14" s="407">
        <v>16405</v>
      </c>
      <c r="D14" s="412">
        <v>0</v>
      </c>
      <c r="E14" s="418">
        <v>0</v>
      </c>
      <c r="F14" s="155">
        <v>0</v>
      </c>
      <c r="G14" s="419">
        <v>0</v>
      </c>
      <c r="H14" s="256">
        <v>4622</v>
      </c>
      <c r="I14" s="14">
        <v>6970</v>
      </c>
      <c r="J14" s="330">
        <v>0.66312769010043038</v>
      </c>
      <c r="K14" s="427">
        <v>0.66340747071236772</v>
      </c>
      <c r="L14" s="433">
        <v>0.55247507399999995</v>
      </c>
      <c r="M14" s="14">
        <f>Lisäosat[[#This Row],[HYTE-kerroin (sis. Kulttuurihyte)]]*Lisäosat[[#This Row],[Asukasmäärä 31.12.2023]]</f>
        <v>9063.3535889699997</v>
      </c>
      <c r="N14" s="427">
        <f>Lisäosat[[#This Row],[HYTE-kerroin (sis. Kulttuurihyte)]]/$N$7</f>
        <v>0.81808053906985312</v>
      </c>
      <c r="O14" s="439">
        <v>2.9102966149966807E-2</v>
      </c>
      <c r="P14" s="136">
        <v>0</v>
      </c>
      <c r="Q14" s="35">
        <v>0</v>
      </c>
      <c r="R14" s="35">
        <v>147032.02601556166</v>
      </c>
      <c r="S14" s="35">
        <v>267204.36985690915</v>
      </c>
      <c r="T14" s="35">
        <v>5041.7047263285704</v>
      </c>
      <c r="U14" s="309">
        <f t="shared" si="1"/>
        <v>419278.10059879936</v>
      </c>
      <c r="X14" s="10"/>
      <c r="Y14" s="10"/>
      <c r="Z14" s="108"/>
    </row>
    <row r="15" spans="1:30">
      <c r="A15" s="23">
        <v>46</v>
      </c>
      <c r="B15" s="193" t="s">
        <v>19</v>
      </c>
      <c r="C15" s="407">
        <v>1320</v>
      </c>
      <c r="D15" s="412">
        <v>1.2921</v>
      </c>
      <c r="E15" s="418">
        <v>0</v>
      </c>
      <c r="F15" s="155">
        <v>0</v>
      </c>
      <c r="G15" s="419">
        <v>0</v>
      </c>
      <c r="H15" s="256">
        <v>394</v>
      </c>
      <c r="I15" s="14">
        <v>456</v>
      </c>
      <c r="J15" s="330">
        <v>0.86403508771929827</v>
      </c>
      <c r="K15" s="427">
        <v>0.86439963329503922</v>
      </c>
      <c r="L15" s="433">
        <v>0.58087552799999997</v>
      </c>
      <c r="M15" s="14">
        <f>Lisäosat[[#This Row],[HYTE-kerroin (sis. Kulttuurihyte)]]*Lisäosat[[#This Row],[Asukasmäärä 31.12.2023]]</f>
        <v>766.75569696000002</v>
      </c>
      <c r="N15" s="427">
        <f>Lisäosat[[#This Row],[HYTE-kerroin (sis. Kulttuurihyte)]]/$N$7</f>
        <v>0.86013466931310922</v>
      </c>
      <c r="O15" s="439">
        <v>0</v>
      </c>
      <c r="P15" s="136">
        <v>165090.84174</v>
      </c>
      <c r="Q15" s="35">
        <v>0</v>
      </c>
      <c r="R15" s="35">
        <v>15415.011540477093</v>
      </c>
      <c r="S15" s="35">
        <v>22605.371271151686</v>
      </c>
      <c r="T15" s="35">
        <v>0</v>
      </c>
      <c r="U15" s="309">
        <f t="shared" si="1"/>
        <v>203111.22455162881</v>
      </c>
      <c r="X15" s="10"/>
      <c r="Y15" s="10"/>
      <c r="Z15" s="108"/>
    </row>
    <row r="16" spans="1:30">
      <c r="A16" s="23">
        <v>47</v>
      </c>
      <c r="B16" s="193" t="s">
        <v>20</v>
      </c>
      <c r="C16" s="407">
        <v>1771</v>
      </c>
      <c r="D16" s="412">
        <v>1.9494500000000001</v>
      </c>
      <c r="E16" s="418">
        <v>1</v>
      </c>
      <c r="F16" s="155">
        <v>182</v>
      </c>
      <c r="G16" s="419">
        <v>0.10276679841897234</v>
      </c>
      <c r="H16" s="256">
        <v>664</v>
      </c>
      <c r="I16" s="14">
        <v>767</v>
      </c>
      <c r="J16" s="330">
        <v>0.86571056062581486</v>
      </c>
      <c r="K16" s="427">
        <v>0.86607581310136128</v>
      </c>
      <c r="L16" s="433">
        <v>0.44908404099999999</v>
      </c>
      <c r="M16" s="14">
        <f>Lisäosat[[#This Row],[HYTE-kerroin (sis. Kulttuurihyte)]]*Lisäosat[[#This Row],[Asukasmäärä 31.12.2023]]</f>
        <v>795.32783661099995</v>
      </c>
      <c r="N16" s="427">
        <f>Lisäosat[[#This Row],[HYTE-kerroin (sis. Kulttuurihyte)]]/$N$7</f>
        <v>0.66498369182343964</v>
      </c>
      <c r="O16" s="439">
        <v>0</v>
      </c>
      <c r="P16" s="136">
        <v>668364.81916050008</v>
      </c>
      <c r="Q16" s="35">
        <v>171717</v>
      </c>
      <c r="R16" s="35">
        <v>20721.91178018392</v>
      </c>
      <c r="S16" s="35">
        <v>23447.730613746491</v>
      </c>
      <c r="T16" s="35">
        <v>0</v>
      </c>
      <c r="U16" s="309">
        <f t="shared" si="1"/>
        <v>884251.46155443043</v>
      </c>
      <c r="X16" s="10"/>
      <c r="Y16" s="10"/>
      <c r="Z16" s="108"/>
    </row>
    <row r="17" spans="1:26">
      <c r="A17" s="23">
        <v>49</v>
      </c>
      <c r="B17" s="193" t="s">
        <v>21</v>
      </c>
      <c r="C17" s="407">
        <v>314024</v>
      </c>
      <c r="D17" s="412">
        <v>0</v>
      </c>
      <c r="E17" s="418">
        <v>0</v>
      </c>
      <c r="F17" s="155">
        <v>17</v>
      </c>
      <c r="G17" s="419">
        <v>5.4135989605889994E-5</v>
      </c>
      <c r="H17" s="256">
        <v>135386</v>
      </c>
      <c r="I17" s="14">
        <v>146707</v>
      </c>
      <c r="J17" s="330">
        <v>0.92283258467557783</v>
      </c>
      <c r="K17" s="427">
        <v>0.92322193753945414</v>
      </c>
      <c r="L17" s="433">
        <v>0.72160897999999996</v>
      </c>
      <c r="M17" s="14">
        <f>Lisäosat[[#This Row],[HYTE-kerroin (sis. Kulttuurihyte)]]*Lisäosat[[#This Row],[Asukasmäärä 31.12.2023]]</f>
        <v>226602.53833551999</v>
      </c>
      <c r="N17" s="427">
        <f>Lisäosat[[#This Row],[HYTE-kerroin (sis. Kulttuurihyte)]]/$N$7</f>
        <v>1.0685265112178561</v>
      </c>
      <c r="O17" s="439">
        <v>2.3624561107389455</v>
      </c>
      <c r="P17" s="136">
        <v>0</v>
      </c>
      <c r="Q17" s="35">
        <v>0</v>
      </c>
      <c r="R17" s="35">
        <v>3916736.0555946482</v>
      </c>
      <c r="S17" s="35">
        <v>6680660.51594924</v>
      </c>
      <c r="T17" s="35">
        <v>7834125.2111093309</v>
      </c>
      <c r="U17" s="309">
        <f t="shared" si="1"/>
        <v>18431521.78265322</v>
      </c>
      <c r="X17" s="10"/>
      <c r="Y17" s="10"/>
      <c r="Z17" s="108"/>
    </row>
    <row r="18" spans="1:26">
      <c r="A18" s="23">
        <v>50</v>
      </c>
      <c r="B18" s="193" t="s">
        <v>22</v>
      </c>
      <c r="C18" s="407">
        <v>11184</v>
      </c>
      <c r="D18" s="412">
        <v>0</v>
      </c>
      <c r="E18" s="418">
        <v>0</v>
      </c>
      <c r="F18" s="155">
        <v>0</v>
      </c>
      <c r="G18" s="419">
        <v>0</v>
      </c>
      <c r="H18" s="256">
        <v>3992</v>
      </c>
      <c r="I18" s="14">
        <v>4674</v>
      </c>
      <c r="J18" s="330">
        <v>0.85408643560119812</v>
      </c>
      <c r="K18" s="427">
        <v>0.85444678373499983</v>
      </c>
      <c r="L18" s="433">
        <v>0.41867604200000003</v>
      </c>
      <c r="M18" s="14">
        <f>Lisäosat[[#This Row],[HYTE-kerroin (sis. Kulttuurihyte)]]*Lisäosat[[#This Row],[Asukasmäärä 31.12.2023]]</f>
        <v>4682.4728537280007</v>
      </c>
      <c r="N18" s="427">
        <f>Lisäosat[[#This Row],[HYTE-kerroin (sis. Kulttuurihyte)]]/$N$7</f>
        <v>0.61995687815409484</v>
      </c>
      <c r="O18" s="439">
        <v>0</v>
      </c>
      <c r="P18" s="136">
        <v>0</v>
      </c>
      <c r="Q18" s="35">
        <v>0</v>
      </c>
      <c r="R18" s="35">
        <v>129103.35452373812</v>
      </c>
      <c r="S18" s="35">
        <v>138047.93071023314</v>
      </c>
      <c r="T18" s="35">
        <v>0</v>
      </c>
      <c r="U18" s="309">
        <f t="shared" si="1"/>
        <v>267151.28523397126</v>
      </c>
      <c r="X18" s="10"/>
      <c r="Y18" s="10"/>
      <c r="Z18" s="108"/>
    </row>
    <row r="19" spans="1:26">
      <c r="A19" s="23">
        <v>51</v>
      </c>
      <c r="B19" s="193" t="s">
        <v>23</v>
      </c>
      <c r="C19" s="407">
        <v>9143</v>
      </c>
      <c r="D19" s="412">
        <v>0</v>
      </c>
      <c r="E19" s="418">
        <v>0</v>
      </c>
      <c r="F19" s="155">
        <v>0</v>
      </c>
      <c r="G19" s="419">
        <v>0</v>
      </c>
      <c r="H19" s="256">
        <v>3763</v>
      </c>
      <c r="I19" s="14">
        <v>3861</v>
      </c>
      <c r="J19" s="330">
        <v>0.97461797461797461</v>
      </c>
      <c r="K19" s="427">
        <v>0.97502917628759944</v>
      </c>
      <c r="L19" s="433">
        <v>0.62249030900000002</v>
      </c>
      <c r="M19" s="14">
        <f>Lisäosat[[#This Row],[HYTE-kerroin (sis. Kulttuurihyte)]]*Lisäosat[[#This Row],[Asukasmäärä 31.12.2023]]</f>
        <v>5691.4288951870003</v>
      </c>
      <c r="N19" s="427">
        <f>Lisäosat[[#This Row],[HYTE-kerroin (sis. Kulttuurihyte)]]/$N$7</f>
        <v>0.92175598776874312</v>
      </c>
      <c r="O19" s="439">
        <v>0</v>
      </c>
      <c r="P19" s="136">
        <v>0</v>
      </c>
      <c r="Q19" s="35">
        <v>0</v>
      </c>
      <c r="R19" s="35">
        <v>120437.48566135453</v>
      </c>
      <c r="S19" s="35">
        <v>167793.81457373712</v>
      </c>
      <c r="T19" s="35">
        <v>0</v>
      </c>
      <c r="U19" s="309">
        <f t="shared" si="1"/>
        <v>288231.30023509165</v>
      </c>
      <c r="X19" s="10"/>
      <c r="Y19" s="10"/>
      <c r="Z19" s="108"/>
    </row>
    <row r="20" spans="1:26">
      <c r="A20" s="23">
        <v>52</v>
      </c>
      <c r="B20" s="193" t="s">
        <v>24</v>
      </c>
      <c r="C20" s="407">
        <v>2292</v>
      </c>
      <c r="D20" s="412">
        <v>0.77395000000000003</v>
      </c>
      <c r="E20" s="418">
        <v>0</v>
      </c>
      <c r="F20" s="155">
        <v>0</v>
      </c>
      <c r="G20" s="419">
        <v>0</v>
      </c>
      <c r="H20" s="256">
        <v>818</v>
      </c>
      <c r="I20" s="14">
        <v>928</v>
      </c>
      <c r="J20" s="330">
        <v>0.88146551724137934</v>
      </c>
      <c r="K20" s="427">
        <v>0.88183741690036976</v>
      </c>
      <c r="L20" s="433">
        <v>0.48482155799999999</v>
      </c>
      <c r="M20" s="14">
        <f>Lisäosat[[#This Row],[HYTE-kerroin (sis. Kulttuurihyte)]]*Lisäosat[[#This Row],[Asukasmäärä 31.12.2023]]</f>
        <v>1111.2110109359999</v>
      </c>
      <c r="N20" s="427">
        <f>Lisäosat[[#This Row],[HYTE-kerroin (sis. Kulttuurihyte)]]/$N$7</f>
        <v>0.71790221891771</v>
      </c>
      <c r="O20" s="439">
        <v>0</v>
      </c>
      <c r="P20" s="136">
        <v>114469.34110200001</v>
      </c>
      <c r="Q20" s="35">
        <v>0</v>
      </c>
      <c r="R20" s="35">
        <v>27306.025067326598</v>
      </c>
      <c r="S20" s="35">
        <v>32760.548845469479</v>
      </c>
      <c r="T20" s="35">
        <v>0</v>
      </c>
      <c r="U20" s="309">
        <f t="shared" si="1"/>
        <v>174535.91501479608</v>
      </c>
      <c r="X20" s="10"/>
      <c r="Y20" s="10"/>
      <c r="Z20" s="108"/>
    </row>
    <row r="21" spans="1:26">
      <c r="A21" s="23">
        <v>61</v>
      </c>
      <c r="B21" s="193" t="s">
        <v>25</v>
      </c>
      <c r="C21" s="407">
        <v>16469</v>
      </c>
      <c r="D21" s="412">
        <v>0</v>
      </c>
      <c r="E21" s="418">
        <v>0</v>
      </c>
      <c r="F21" s="155">
        <v>0</v>
      </c>
      <c r="G21" s="419">
        <v>0</v>
      </c>
      <c r="H21" s="256">
        <v>7800</v>
      </c>
      <c r="I21" s="14">
        <v>6277</v>
      </c>
      <c r="J21" s="330">
        <v>1.2426318304922734</v>
      </c>
      <c r="K21" s="427">
        <v>1.2431561100528137</v>
      </c>
      <c r="L21" s="433">
        <v>0.56937673499999997</v>
      </c>
      <c r="M21" s="14">
        <f>Lisäosat[[#This Row],[HYTE-kerroin (sis. Kulttuurihyte)]]*Lisäosat[[#This Row],[Asukasmäärä 31.12.2023]]</f>
        <v>9377.0654487149986</v>
      </c>
      <c r="N21" s="427">
        <f>Lisäosat[[#This Row],[HYTE-kerroin (sis. Kulttuurihyte)]]/$N$7</f>
        <v>0.84310776761420536</v>
      </c>
      <c r="O21" s="439">
        <v>0</v>
      </c>
      <c r="P21" s="136">
        <v>0</v>
      </c>
      <c r="Q21" s="35">
        <v>0</v>
      </c>
      <c r="R21" s="35">
        <v>276597.49806197174</v>
      </c>
      <c r="S21" s="35">
        <v>276453.17373253155</v>
      </c>
      <c r="T21" s="35">
        <v>0</v>
      </c>
      <c r="U21" s="309">
        <f t="shared" si="1"/>
        <v>553050.67179450323</v>
      </c>
      <c r="X21" s="10"/>
      <c r="Y21" s="10"/>
      <c r="Z21" s="108"/>
    </row>
    <row r="22" spans="1:26">
      <c r="A22" s="23">
        <v>69</v>
      </c>
      <c r="B22" s="193" t="s">
        <v>26</v>
      </c>
      <c r="C22" s="407">
        <v>6558</v>
      </c>
      <c r="D22" s="412">
        <v>0.78915000000000002</v>
      </c>
      <c r="E22" s="418">
        <v>0</v>
      </c>
      <c r="F22" s="155">
        <v>0</v>
      </c>
      <c r="G22" s="419">
        <v>0</v>
      </c>
      <c r="H22" s="256">
        <v>2698</v>
      </c>
      <c r="I22" s="14">
        <v>2617</v>
      </c>
      <c r="J22" s="330">
        <v>1.0309514711501719</v>
      </c>
      <c r="K22" s="427">
        <v>1.0313864405199964</v>
      </c>
      <c r="L22" s="433">
        <v>0.59420339899999997</v>
      </c>
      <c r="M22" s="14">
        <f>Lisäosat[[#This Row],[HYTE-kerroin (sis. Kulttuurihyte)]]*Lisäosat[[#This Row],[Asukasmäärä 31.12.2023]]</f>
        <v>3896.7858906419997</v>
      </c>
      <c r="N22" s="427">
        <f>Lisäosat[[#This Row],[HYTE-kerroin (sis. Kulttuurihyte)]]/$N$7</f>
        <v>0.87986998843509634</v>
      </c>
      <c r="O22" s="439">
        <v>0</v>
      </c>
      <c r="P22" s="136">
        <v>333958.60502100002</v>
      </c>
      <c r="Q22" s="35">
        <v>0</v>
      </c>
      <c r="R22" s="35">
        <v>91379.374061326147</v>
      </c>
      <c r="S22" s="35">
        <v>114884.43081857306</v>
      </c>
      <c r="T22" s="35">
        <v>0</v>
      </c>
      <c r="U22" s="309">
        <f t="shared" si="1"/>
        <v>540222.40990089928</v>
      </c>
      <c r="X22" s="10"/>
      <c r="Y22" s="10"/>
      <c r="Z22" s="108"/>
    </row>
    <row r="23" spans="1:26">
      <c r="A23" s="23">
        <v>71</v>
      </c>
      <c r="B23" s="193" t="s">
        <v>27</v>
      </c>
      <c r="C23" s="407">
        <v>6473</v>
      </c>
      <c r="D23" s="412">
        <v>0.6731166666666667</v>
      </c>
      <c r="E23" s="418">
        <v>0</v>
      </c>
      <c r="F23" s="155">
        <v>2</v>
      </c>
      <c r="G23" s="419">
        <v>3.0897574540398578E-4</v>
      </c>
      <c r="H23" s="256">
        <v>2642</v>
      </c>
      <c r="I23" s="14">
        <v>2541</v>
      </c>
      <c r="J23" s="330">
        <v>1.0397481306572216</v>
      </c>
      <c r="K23" s="427">
        <v>1.0401868114310737</v>
      </c>
      <c r="L23" s="433">
        <v>0.45357614499999999</v>
      </c>
      <c r="M23" s="14">
        <f>Lisäosat[[#This Row],[HYTE-kerroin (sis. Kulttuurihyte)]]*Lisäosat[[#This Row],[Asukasmäärä 31.12.2023]]</f>
        <v>2935.9983865849999</v>
      </c>
      <c r="N23" s="427">
        <f>Lisäosat[[#This Row],[HYTE-kerroin (sis. Kulttuurihyte)]]/$N$7</f>
        <v>0.67163539980959552</v>
      </c>
      <c r="O23" s="439">
        <v>0</v>
      </c>
      <c r="P23" s="136">
        <v>281162.64235049998</v>
      </c>
      <c r="Q23" s="35">
        <v>0</v>
      </c>
      <c r="R23" s="35">
        <v>90964.575902614029</v>
      </c>
      <c r="S23" s="35">
        <v>86558.644224483156</v>
      </c>
      <c r="T23" s="35">
        <v>0</v>
      </c>
      <c r="U23" s="309">
        <f t="shared" si="1"/>
        <v>458685.8624775972</v>
      </c>
      <c r="X23" s="10"/>
      <c r="Y23" s="10"/>
      <c r="Z23" s="108"/>
    </row>
    <row r="24" spans="1:26">
      <c r="A24" s="23">
        <v>72</v>
      </c>
      <c r="B24" s="193" t="s">
        <v>28</v>
      </c>
      <c r="C24" s="407">
        <v>948</v>
      </c>
      <c r="D24" s="412">
        <v>0.99881666666666669</v>
      </c>
      <c r="E24" s="418">
        <v>0</v>
      </c>
      <c r="F24" s="155">
        <v>0</v>
      </c>
      <c r="G24" s="419">
        <v>0</v>
      </c>
      <c r="H24" s="256">
        <v>245</v>
      </c>
      <c r="I24" s="14">
        <v>347</v>
      </c>
      <c r="J24" s="330">
        <v>0.70605187319884721</v>
      </c>
      <c r="K24" s="427">
        <v>0.70634976397929883</v>
      </c>
      <c r="L24" s="433">
        <v>0.60307889999999997</v>
      </c>
      <c r="M24" s="14">
        <f>Lisäosat[[#This Row],[HYTE-kerroin (sis. Kulttuurihyte)]]*Lisäosat[[#This Row],[Asukasmäärä 31.12.2023]]</f>
        <v>571.71879719999993</v>
      </c>
      <c r="N24" s="427">
        <f>Lisäosat[[#This Row],[HYTE-kerroin (sis. Kulttuurihyte)]]/$N$7</f>
        <v>0.89301243591245538</v>
      </c>
      <c r="O24" s="439">
        <v>0</v>
      </c>
      <c r="P24" s="136">
        <v>61102.050245999999</v>
      </c>
      <c r="Q24" s="35">
        <v>0</v>
      </c>
      <c r="R24" s="35">
        <v>9046.5604751695901</v>
      </c>
      <c r="S24" s="35">
        <v>16855.323963868104</v>
      </c>
      <c r="T24" s="35">
        <v>0</v>
      </c>
      <c r="U24" s="309">
        <f t="shared" si="1"/>
        <v>87003.934685037704</v>
      </c>
      <c r="X24" s="10"/>
      <c r="Y24" s="10"/>
      <c r="Z24" s="108"/>
    </row>
    <row r="25" spans="1:26">
      <c r="A25" s="23">
        <v>74</v>
      </c>
      <c r="B25" s="193" t="s">
        <v>29</v>
      </c>
      <c r="C25" s="407">
        <v>1013</v>
      </c>
      <c r="D25" s="412">
        <v>1.4803000000000002</v>
      </c>
      <c r="E25" s="418">
        <v>0</v>
      </c>
      <c r="F25" s="155">
        <v>0</v>
      </c>
      <c r="G25" s="419">
        <v>0</v>
      </c>
      <c r="H25" s="256">
        <v>337</v>
      </c>
      <c r="I25" s="14">
        <v>386</v>
      </c>
      <c r="J25" s="330">
        <v>0.87305699481865284</v>
      </c>
      <c r="K25" s="427">
        <v>0.87342534683277184</v>
      </c>
      <c r="L25" s="433">
        <v>0.230053746</v>
      </c>
      <c r="M25" s="14">
        <f>Lisäosat[[#This Row],[HYTE-kerroin (sis. Kulttuurihyte)]]*Lisäosat[[#This Row],[Asukasmäärä 31.12.2023]]</f>
        <v>233.04444469800001</v>
      </c>
      <c r="N25" s="427">
        <f>Lisäosat[[#This Row],[HYTE-kerroin (sis. Kulttuurihyte)]]/$N$7</f>
        <v>0.34065336410583308</v>
      </c>
      <c r="O25" s="439">
        <v>0</v>
      </c>
      <c r="P25" s="136">
        <v>145148.35180050001</v>
      </c>
      <c r="Q25" s="35">
        <v>0</v>
      </c>
      <c r="R25" s="35">
        <v>11953.376129374987</v>
      </c>
      <c r="S25" s="35">
        <v>6870.5797895786491</v>
      </c>
      <c r="T25" s="35">
        <v>0</v>
      </c>
      <c r="U25" s="309">
        <f t="shared" si="1"/>
        <v>163972.30771945365</v>
      </c>
      <c r="X25" s="10"/>
      <c r="Y25" s="10"/>
      <c r="Z25" s="108"/>
    </row>
    <row r="26" spans="1:26">
      <c r="A26" s="23">
        <v>75</v>
      </c>
      <c r="B26" s="193" t="s">
        <v>30</v>
      </c>
      <c r="C26" s="407">
        <v>19534</v>
      </c>
      <c r="D26" s="412">
        <v>0</v>
      </c>
      <c r="E26" s="418">
        <v>0</v>
      </c>
      <c r="F26" s="155">
        <v>0</v>
      </c>
      <c r="G26" s="419">
        <v>0</v>
      </c>
      <c r="H26" s="256">
        <v>6166</v>
      </c>
      <c r="I26" s="14">
        <v>7552</v>
      </c>
      <c r="J26" s="330">
        <v>0.81647245762711862</v>
      </c>
      <c r="K26" s="427">
        <v>0.81681693602431893</v>
      </c>
      <c r="L26" s="433">
        <v>0.66870127700000004</v>
      </c>
      <c r="M26" s="14">
        <f>Lisäosat[[#This Row],[HYTE-kerroin (sis. Kulttuurihyte)]]*Lisäosat[[#This Row],[Asukasmäärä 31.12.2023]]</f>
        <v>13062.410744918001</v>
      </c>
      <c r="N26" s="427">
        <f>Lisäosat[[#This Row],[HYTE-kerroin (sis. Kulttuurihyte)]]/$N$7</f>
        <v>0.99018313569176375</v>
      </c>
      <c r="O26" s="439">
        <v>0</v>
      </c>
      <c r="P26" s="136">
        <v>0</v>
      </c>
      <c r="Q26" s="35">
        <v>0</v>
      </c>
      <c r="R26" s="35">
        <v>215561.5344023201</v>
      </c>
      <c r="S26" s="35">
        <v>385103.94608852401</v>
      </c>
      <c r="T26" s="35">
        <v>0</v>
      </c>
      <c r="U26" s="309">
        <f t="shared" si="1"/>
        <v>600665.48049084411</v>
      </c>
      <c r="X26" s="10"/>
      <c r="Y26" s="10"/>
      <c r="Z26" s="108"/>
    </row>
    <row r="27" spans="1:26">
      <c r="A27" s="23">
        <v>77</v>
      </c>
      <c r="B27" s="193" t="s">
        <v>31</v>
      </c>
      <c r="C27" s="407">
        <v>4549</v>
      </c>
      <c r="D27" s="412">
        <v>0.66818333333333335</v>
      </c>
      <c r="E27" s="418">
        <v>0</v>
      </c>
      <c r="F27" s="155">
        <v>0</v>
      </c>
      <c r="G27" s="419">
        <v>0</v>
      </c>
      <c r="H27" s="256">
        <v>1294</v>
      </c>
      <c r="I27" s="14">
        <v>1655</v>
      </c>
      <c r="J27" s="330">
        <v>0.78187311178247731</v>
      </c>
      <c r="K27" s="427">
        <v>0.78220299234837365</v>
      </c>
      <c r="L27" s="433">
        <v>0.55760644400000003</v>
      </c>
      <c r="M27" s="14">
        <f>Lisäosat[[#This Row],[HYTE-kerroin (sis. Kulttuurihyte)]]*Lisäosat[[#This Row],[Asukasmäärä 31.12.2023]]</f>
        <v>2536.551713756</v>
      </c>
      <c r="N27" s="427">
        <f>Lisäosat[[#This Row],[HYTE-kerroin (sis. Kulttuurihyte)]]/$N$7</f>
        <v>0.82567884374154388</v>
      </c>
      <c r="O27" s="439">
        <v>0</v>
      </c>
      <c r="P27" s="136">
        <v>196143.1929045</v>
      </c>
      <c r="Q27" s="35">
        <v>0</v>
      </c>
      <c r="R27" s="35">
        <v>48071.841478724076</v>
      </c>
      <c r="S27" s="35">
        <v>74782.220028189433</v>
      </c>
      <c r="T27" s="35">
        <v>0</v>
      </c>
      <c r="U27" s="309">
        <f t="shared" si="1"/>
        <v>318997.25441141351</v>
      </c>
      <c r="X27" s="10"/>
      <c r="Y27" s="10"/>
      <c r="Z27" s="108"/>
    </row>
    <row r="28" spans="1:26">
      <c r="A28" s="23">
        <v>78</v>
      </c>
      <c r="B28" s="193" t="s">
        <v>32</v>
      </c>
      <c r="C28" s="407">
        <v>7721</v>
      </c>
      <c r="D28" s="412">
        <v>0.99443333333333328</v>
      </c>
      <c r="E28" s="418">
        <v>0</v>
      </c>
      <c r="F28" s="155">
        <v>1</v>
      </c>
      <c r="G28" s="419">
        <v>1.2951690195570523E-4</v>
      </c>
      <c r="H28" s="256">
        <v>3431</v>
      </c>
      <c r="I28" s="14">
        <v>3122</v>
      </c>
      <c r="J28" s="330">
        <v>1.0989750160153748</v>
      </c>
      <c r="K28" s="427">
        <v>1.0994386852408873</v>
      </c>
      <c r="L28" s="433">
        <v>0.59190947100000002</v>
      </c>
      <c r="M28" s="14">
        <f>Lisäosat[[#This Row],[HYTE-kerroin (sis. Kulttuurihyte)]]*Lisäosat[[#This Row],[Asukasmäärä 31.12.2023]]</f>
        <v>4570.1330255909998</v>
      </c>
      <c r="N28" s="427">
        <f>Lisäosat[[#This Row],[HYTE-kerroin (sis. Kulttuurihyte)]]/$N$7</f>
        <v>0.87647324178869945</v>
      </c>
      <c r="O28" s="439">
        <v>0</v>
      </c>
      <c r="P28" s="136">
        <v>495462.61554299999</v>
      </c>
      <c r="Q28" s="35">
        <v>0</v>
      </c>
      <c r="R28" s="35">
        <v>114683.22985894348</v>
      </c>
      <c r="S28" s="35">
        <v>134735.94550602444</v>
      </c>
      <c r="T28" s="35">
        <v>0</v>
      </c>
      <c r="U28" s="309">
        <f t="shared" si="1"/>
        <v>744881.79090796784</v>
      </c>
      <c r="X28" s="10"/>
      <c r="Y28" s="10"/>
      <c r="Z28" s="108"/>
    </row>
    <row r="29" spans="1:26">
      <c r="A29" s="23">
        <v>79</v>
      </c>
      <c r="B29" s="193" t="s">
        <v>33</v>
      </c>
      <c r="C29" s="407">
        <v>6703</v>
      </c>
      <c r="D29" s="412">
        <v>0</v>
      </c>
      <c r="E29" s="418">
        <v>0</v>
      </c>
      <c r="F29" s="155">
        <v>0</v>
      </c>
      <c r="G29" s="419">
        <v>0</v>
      </c>
      <c r="H29" s="256">
        <v>3856</v>
      </c>
      <c r="I29" s="14">
        <v>2505</v>
      </c>
      <c r="J29" s="330">
        <v>1.5393213572854292</v>
      </c>
      <c r="K29" s="427">
        <v>1.5399708133068544</v>
      </c>
      <c r="L29" s="433">
        <v>0.54726257199999995</v>
      </c>
      <c r="M29" s="14">
        <f>Lisäosat[[#This Row],[HYTE-kerroin (sis. Kulttuurihyte)]]*Lisäosat[[#This Row],[Asukasmäärä 31.12.2023]]</f>
        <v>3668.3010201159996</v>
      </c>
      <c r="N29" s="427">
        <f>Lisäosat[[#This Row],[HYTE-kerroin (sis. Kulttuurihyte)]]/$N$7</f>
        <v>0.81036209773785062</v>
      </c>
      <c r="O29" s="439">
        <v>0</v>
      </c>
      <c r="P29" s="136">
        <v>0</v>
      </c>
      <c r="Q29" s="35">
        <v>0</v>
      </c>
      <c r="R29" s="35">
        <v>139455.95312515984</v>
      </c>
      <c r="S29" s="35">
        <v>108148.27568003394</v>
      </c>
      <c r="T29" s="35">
        <v>0</v>
      </c>
      <c r="U29" s="309">
        <f t="shared" si="1"/>
        <v>247604.22880519379</v>
      </c>
      <c r="X29" s="10"/>
      <c r="Y29" s="10"/>
      <c r="Z29" s="108"/>
    </row>
    <row r="30" spans="1:26">
      <c r="A30" s="23">
        <v>81</v>
      </c>
      <c r="B30" s="193" t="s">
        <v>34</v>
      </c>
      <c r="C30" s="407">
        <v>2531</v>
      </c>
      <c r="D30" s="412">
        <v>1.0004999999999999</v>
      </c>
      <c r="E30" s="418">
        <v>0</v>
      </c>
      <c r="F30" s="155">
        <v>0</v>
      </c>
      <c r="G30" s="419">
        <v>0</v>
      </c>
      <c r="H30" s="256">
        <v>803</v>
      </c>
      <c r="I30" s="14">
        <v>852</v>
      </c>
      <c r="J30" s="330">
        <v>0.94248826291079812</v>
      </c>
      <c r="K30" s="427">
        <v>0.94288590871397826</v>
      </c>
      <c r="L30" s="433">
        <v>0.66976898399999996</v>
      </c>
      <c r="M30" s="14">
        <f>Lisäosat[[#This Row],[HYTE-kerroin (sis. Kulttuurihyte)]]*Lisäosat[[#This Row],[Asukasmäärä 31.12.2023]]</f>
        <v>1695.185298504</v>
      </c>
      <c r="N30" s="427">
        <f>Lisäosat[[#This Row],[HYTE-kerroin (sis. Kulttuurihyte)]]/$N$7</f>
        <v>0.99176414877133046</v>
      </c>
      <c r="O30" s="439">
        <v>0</v>
      </c>
      <c r="P30" s="136">
        <v>245110.63907249999</v>
      </c>
      <c r="Q30" s="35">
        <v>0</v>
      </c>
      <c r="R30" s="35">
        <v>32240.861614243116</v>
      </c>
      <c r="S30" s="35">
        <v>49977.187255356119</v>
      </c>
      <c r="T30" s="35">
        <v>0</v>
      </c>
      <c r="U30" s="309">
        <f t="shared" si="1"/>
        <v>327328.68794209923</v>
      </c>
      <c r="X30" s="10"/>
      <c r="Y30" s="10"/>
      <c r="Z30" s="108"/>
    </row>
    <row r="31" spans="1:26">
      <c r="A31" s="23">
        <v>82</v>
      </c>
      <c r="B31" s="193" t="s">
        <v>35</v>
      </c>
      <c r="C31" s="407">
        <v>9371</v>
      </c>
      <c r="D31" s="412">
        <v>0</v>
      </c>
      <c r="E31" s="418">
        <v>0</v>
      </c>
      <c r="F31" s="155">
        <v>0</v>
      </c>
      <c r="G31" s="419">
        <v>0</v>
      </c>
      <c r="H31" s="256">
        <v>2822</v>
      </c>
      <c r="I31" s="14">
        <v>4187</v>
      </c>
      <c r="J31" s="330">
        <v>0.67399092428946739</v>
      </c>
      <c r="K31" s="427">
        <v>0.67427528821522864</v>
      </c>
      <c r="L31" s="433">
        <v>0.64273669</v>
      </c>
      <c r="M31" s="14">
        <f>Lisäosat[[#This Row],[HYTE-kerroin (sis. Kulttuurihyte)]]*Lisäosat[[#This Row],[Asukasmäärä 31.12.2023]]</f>
        <v>6023.0855219900004</v>
      </c>
      <c r="N31" s="427">
        <f>Lisäosat[[#This Row],[HYTE-kerroin (sis. Kulttuurihyte)]]/$N$7</f>
        <v>0.9517359290587164</v>
      </c>
      <c r="O31" s="439">
        <v>0</v>
      </c>
      <c r="P31" s="136">
        <v>0</v>
      </c>
      <c r="Q31" s="35">
        <v>0</v>
      </c>
      <c r="R31" s="35">
        <v>85364.74163643489</v>
      </c>
      <c r="S31" s="35">
        <v>177571.66325897581</v>
      </c>
      <c r="T31" s="35">
        <v>0</v>
      </c>
      <c r="U31" s="309">
        <f t="shared" si="1"/>
        <v>262936.4048954107</v>
      </c>
      <c r="X31" s="10"/>
      <c r="Y31" s="10"/>
      <c r="Z31" s="108"/>
    </row>
    <row r="32" spans="1:26">
      <c r="A32" s="23">
        <v>86</v>
      </c>
      <c r="B32" s="193" t="s">
        <v>36</v>
      </c>
      <c r="C32" s="407">
        <v>7998</v>
      </c>
      <c r="D32" s="412">
        <v>0</v>
      </c>
      <c r="E32" s="418">
        <v>0</v>
      </c>
      <c r="F32" s="155">
        <v>0</v>
      </c>
      <c r="G32" s="419">
        <v>0</v>
      </c>
      <c r="H32" s="256">
        <v>1842</v>
      </c>
      <c r="I32" s="14">
        <v>3602</v>
      </c>
      <c r="J32" s="330">
        <v>0.51138256524153247</v>
      </c>
      <c r="K32" s="427">
        <v>0.51159832297442964</v>
      </c>
      <c r="L32" s="433">
        <v>0.56745537899999998</v>
      </c>
      <c r="M32" s="14">
        <f>Lisäosat[[#This Row],[HYTE-kerroin (sis. Kulttuurihyte)]]*Lisäosat[[#This Row],[Asukasmäärä 31.12.2023]]</f>
        <v>4538.508121242</v>
      </c>
      <c r="N32" s="427">
        <f>Lisäosat[[#This Row],[HYTE-kerroin (sis. Kulttuurihyte)]]/$N$7</f>
        <v>0.84026270902930877</v>
      </c>
      <c r="O32" s="439">
        <v>0</v>
      </c>
      <c r="P32" s="136">
        <v>0</v>
      </c>
      <c r="Q32" s="35">
        <v>0</v>
      </c>
      <c r="R32" s="35">
        <v>55279.723360389587</v>
      </c>
      <c r="S32" s="35">
        <v>133803.58503311474</v>
      </c>
      <c r="T32" s="35">
        <v>0</v>
      </c>
      <c r="U32" s="309">
        <f t="shared" si="1"/>
        <v>189083.30839350433</v>
      </c>
      <c r="X32" s="10"/>
      <c r="Y32" s="10"/>
      <c r="Z32" s="108"/>
    </row>
    <row r="33" spans="1:26">
      <c r="A33" s="23">
        <v>90</v>
      </c>
      <c r="B33" s="193" t="s">
        <v>37</v>
      </c>
      <c r="C33" s="407">
        <v>3001</v>
      </c>
      <c r="D33" s="412">
        <v>1.6935833333333332</v>
      </c>
      <c r="E33" s="418">
        <v>0</v>
      </c>
      <c r="F33" s="155">
        <v>0</v>
      </c>
      <c r="G33" s="419">
        <v>0</v>
      </c>
      <c r="H33" s="256">
        <v>938</v>
      </c>
      <c r="I33" s="14">
        <v>991</v>
      </c>
      <c r="J33" s="330">
        <v>0.94651866801210893</v>
      </c>
      <c r="K33" s="427">
        <v>0.94691801428598632</v>
      </c>
      <c r="L33" s="433">
        <v>0.54085944900000005</v>
      </c>
      <c r="M33" s="14">
        <f>Lisäosat[[#This Row],[HYTE-kerroin (sis. Kulttuurihyte)]]*Lisäosat[[#This Row],[Asukasmäärä 31.12.2023]]</f>
        <v>1623.1192064490001</v>
      </c>
      <c r="N33" s="427">
        <f>Lisäosat[[#This Row],[HYTE-kerroin (sis. Kulttuurihyte)]]/$N$7</f>
        <v>0.80088063773704976</v>
      </c>
      <c r="O33" s="439">
        <v>0</v>
      </c>
      <c r="P33" s="136">
        <v>983910.25329749985</v>
      </c>
      <c r="Q33" s="35">
        <v>0</v>
      </c>
      <c r="R33" s="35">
        <v>38391.379981384031</v>
      </c>
      <c r="S33" s="35">
        <v>47852.546025531323</v>
      </c>
      <c r="T33" s="35">
        <v>0</v>
      </c>
      <c r="U33" s="309">
        <f t="shared" si="1"/>
        <v>1070154.1793044151</v>
      </c>
      <c r="X33" s="10"/>
      <c r="Y33" s="10"/>
      <c r="Z33" s="108"/>
    </row>
    <row r="34" spans="1:26">
      <c r="A34" s="23">
        <v>91</v>
      </c>
      <c r="B34" s="193" t="s">
        <v>38</v>
      </c>
      <c r="C34" s="407">
        <v>674500</v>
      </c>
      <c r="D34" s="412">
        <v>0</v>
      </c>
      <c r="E34" s="418">
        <v>0</v>
      </c>
      <c r="F34" s="155">
        <v>68</v>
      </c>
      <c r="G34" s="419">
        <v>1.0081541882876204E-4</v>
      </c>
      <c r="H34" s="256">
        <v>426738</v>
      </c>
      <c r="I34" s="14">
        <v>322759</v>
      </c>
      <c r="J34" s="330">
        <v>1.3221567795166054</v>
      </c>
      <c r="K34" s="427">
        <v>1.3227146114973425</v>
      </c>
      <c r="L34" s="433">
        <v>0.68430123499999995</v>
      </c>
      <c r="M34" s="14">
        <f>Lisäosat[[#This Row],[HYTE-kerroin (sis. Kulttuurihyte)]]*Lisäosat[[#This Row],[Asukasmäärä 31.12.2023]]</f>
        <v>461561.18300749996</v>
      </c>
      <c r="N34" s="427">
        <f>Lisäosat[[#This Row],[HYTE-kerroin (sis. Kulttuurihyte)]]/$N$7</f>
        <v>1.0132828602779032</v>
      </c>
      <c r="O34" s="439">
        <v>0.88569383284834802</v>
      </c>
      <c r="P34" s="136">
        <v>0</v>
      </c>
      <c r="Q34" s="35">
        <v>0</v>
      </c>
      <c r="R34" s="35">
        <v>12053230.283696475</v>
      </c>
      <c r="S34" s="35">
        <v>13607674.449115744</v>
      </c>
      <c r="T34" s="35">
        <v>6308549.177105586</v>
      </c>
      <c r="U34" s="309">
        <f t="shared" si="1"/>
        <v>31969453.909917805</v>
      </c>
      <c r="X34" s="10"/>
      <c r="Y34" s="10"/>
      <c r="Z34" s="108"/>
    </row>
    <row r="35" spans="1:26">
      <c r="A35" s="23">
        <v>92</v>
      </c>
      <c r="B35" s="193" t="s">
        <v>39</v>
      </c>
      <c r="C35" s="407">
        <v>247443</v>
      </c>
      <c r="D35" s="412">
        <v>0</v>
      </c>
      <c r="E35" s="418">
        <v>0</v>
      </c>
      <c r="F35" s="155">
        <v>25</v>
      </c>
      <c r="G35" s="419">
        <v>1.010333693012128E-4</v>
      </c>
      <c r="H35" s="256">
        <v>126921</v>
      </c>
      <c r="I35" s="14">
        <v>117742</v>
      </c>
      <c r="J35" s="330">
        <v>1.0779585874199522</v>
      </c>
      <c r="K35" s="427">
        <v>1.0784133895911385</v>
      </c>
      <c r="L35" s="433">
        <v>0.71452916300000002</v>
      </c>
      <c r="M35" s="14">
        <f>Lisäosat[[#This Row],[HYTE-kerroin (sis. Kulttuurihyte)]]*Lisäosat[[#This Row],[Asukasmäärä 31.12.2023]]</f>
        <v>176805.23968020899</v>
      </c>
      <c r="N35" s="427">
        <f>Lisäosat[[#This Row],[HYTE-kerroin (sis. Kulttuurihyte)]]/$N$7</f>
        <v>1.05804303281232</v>
      </c>
      <c r="O35" s="439">
        <v>1.4157448644368742</v>
      </c>
      <c r="P35" s="136">
        <v>0</v>
      </c>
      <c r="Q35" s="35">
        <v>0</v>
      </c>
      <c r="R35" s="35">
        <v>3605087.3573117075</v>
      </c>
      <c r="S35" s="35">
        <v>5212544.3625684418</v>
      </c>
      <c r="T35" s="35">
        <v>3699338.6125434129</v>
      </c>
      <c r="U35" s="309">
        <f t="shared" si="1"/>
        <v>12516970.332423562</v>
      </c>
      <c r="X35" s="10"/>
      <c r="Y35" s="10"/>
      <c r="Z35" s="108"/>
    </row>
    <row r="36" spans="1:26">
      <c r="A36" s="23">
        <v>97</v>
      </c>
      <c r="B36" s="193" t="s">
        <v>40</v>
      </c>
      <c r="C36" s="407">
        <v>2062</v>
      </c>
      <c r="D36" s="412">
        <v>0.77800000000000002</v>
      </c>
      <c r="E36" s="418">
        <v>0</v>
      </c>
      <c r="F36" s="155">
        <v>0</v>
      </c>
      <c r="G36" s="419">
        <v>0</v>
      </c>
      <c r="H36" s="256">
        <v>527</v>
      </c>
      <c r="I36" s="14">
        <v>744</v>
      </c>
      <c r="J36" s="330">
        <v>0.70833333333333337</v>
      </c>
      <c r="K36" s="427">
        <v>0.70863218668603478</v>
      </c>
      <c r="L36" s="433">
        <v>0.59623938200000004</v>
      </c>
      <c r="M36" s="14">
        <f>Lisäosat[[#This Row],[HYTE-kerroin (sis. Kulttuurihyte)]]*Lisäosat[[#This Row],[Asukasmäärä 31.12.2023]]</f>
        <v>1229.4456056840002</v>
      </c>
      <c r="N36" s="427">
        <f>Lisäosat[[#This Row],[HYTE-kerroin (sis. Kulttuurihyte)]]/$N$7</f>
        <v>0.88288478158787687</v>
      </c>
      <c r="O36" s="439">
        <v>0</v>
      </c>
      <c r="P36" s="136">
        <v>103521.34908000001</v>
      </c>
      <c r="Q36" s="35">
        <v>0</v>
      </c>
      <c r="R36" s="35">
        <v>19740.806176468614</v>
      </c>
      <c r="S36" s="35">
        <v>36246.322634916964</v>
      </c>
      <c r="T36" s="35">
        <v>0</v>
      </c>
      <c r="U36" s="309">
        <f t="shared" si="1"/>
        <v>159508.47789138558</v>
      </c>
      <c r="X36" s="10"/>
      <c r="Y36" s="10"/>
      <c r="Z36" s="108"/>
    </row>
    <row r="37" spans="1:26" s="104" customFormat="1">
      <c r="A37" s="124">
        <v>98</v>
      </c>
      <c r="B37" s="124" t="s">
        <v>41</v>
      </c>
      <c r="C37" s="408">
        <v>22885</v>
      </c>
      <c r="D37" s="412">
        <v>0</v>
      </c>
      <c r="E37" s="420">
        <v>0</v>
      </c>
      <c r="F37" s="155">
        <v>3</v>
      </c>
      <c r="G37" s="419">
        <v>1.3109023377758358E-4</v>
      </c>
      <c r="H37" s="269">
        <v>5912</v>
      </c>
      <c r="I37" s="15">
        <v>9638</v>
      </c>
      <c r="J37" s="331">
        <v>0.61340527080307117</v>
      </c>
      <c r="K37" s="427">
        <v>0.6136640729984747</v>
      </c>
      <c r="L37" s="434">
        <v>0.68801984999999999</v>
      </c>
      <c r="M37" s="14">
        <f>Lisäosat[[#This Row],[HYTE-kerroin (sis. Kulttuurihyte)]]*Lisäosat[[#This Row],[Asukasmäärä 31.12.2023]]</f>
        <v>15745.33426725</v>
      </c>
      <c r="N37" s="427">
        <f>Lisäosat[[#This Row],[HYTE-kerroin (sis. Kulttuurihyte)]]/$N$7</f>
        <v>1.018789220124634</v>
      </c>
      <c r="O37" s="449">
        <v>0</v>
      </c>
      <c r="P37" s="197">
        <v>0</v>
      </c>
      <c r="Q37" s="159">
        <v>0</v>
      </c>
      <c r="R37" s="159">
        <v>189730.41821580197</v>
      </c>
      <c r="S37" s="159">
        <v>464201.47683381534</v>
      </c>
      <c r="T37" s="159">
        <v>0</v>
      </c>
      <c r="U37" s="309">
        <f t="shared" si="1"/>
        <v>653931.89504961728</v>
      </c>
      <c r="V37" s="59"/>
      <c r="W37" s="59"/>
      <c r="X37" s="109"/>
      <c r="Y37" s="110"/>
      <c r="Z37" s="111"/>
    </row>
    <row r="38" spans="1:26" s="45" customFormat="1">
      <c r="A38" s="127">
        <v>102</v>
      </c>
      <c r="B38" s="124" t="s">
        <v>42</v>
      </c>
      <c r="C38" s="408">
        <v>9646</v>
      </c>
      <c r="D38" s="412">
        <v>0</v>
      </c>
      <c r="E38" s="420">
        <v>0</v>
      </c>
      <c r="F38" s="155">
        <v>0</v>
      </c>
      <c r="G38" s="419">
        <v>0</v>
      </c>
      <c r="H38" s="269">
        <v>4036</v>
      </c>
      <c r="I38" s="15">
        <v>4015</v>
      </c>
      <c r="J38" s="331">
        <v>1.005230386052304</v>
      </c>
      <c r="K38" s="427">
        <v>1.0056545034232813</v>
      </c>
      <c r="L38" s="434">
        <v>0.64233597600000003</v>
      </c>
      <c r="M38" s="14">
        <f>Lisäosat[[#This Row],[HYTE-kerroin (sis. Kulttuurihyte)]]*Lisäosat[[#This Row],[Asukasmäärä 31.12.2023]]</f>
        <v>6195.9728244960006</v>
      </c>
      <c r="N38" s="427">
        <f>Lisäosat[[#This Row],[HYTE-kerroin (sis. Kulttuurihyte)]]/$N$7</f>
        <v>0.95114256957417098</v>
      </c>
      <c r="O38" s="439">
        <v>0</v>
      </c>
      <c r="P38" s="197">
        <v>0</v>
      </c>
      <c r="Q38" s="159">
        <v>0</v>
      </c>
      <c r="R38" s="159">
        <v>131054.34052368332</v>
      </c>
      <c r="S38" s="159">
        <v>182668.69961189895</v>
      </c>
      <c r="T38" s="159">
        <v>0</v>
      </c>
      <c r="U38" s="309">
        <f t="shared" si="1"/>
        <v>313723.04013558227</v>
      </c>
      <c r="V38" s="44"/>
      <c r="W38" s="44"/>
      <c r="X38" s="110"/>
      <c r="Y38" s="110"/>
      <c r="Z38" s="111"/>
    </row>
    <row r="39" spans="1:26" s="45" customFormat="1">
      <c r="A39" s="127">
        <v>103</v>
      </c>
      <c r="B39" s="124" t="s">
        <v>43</v>
      </c>
      <c r="C39" s="408">
        <v>2125</v>
      </c>
      <c r="D39" s="412">
        <v>0</v>
      </c>
      <c r="E39" s="420">
        <v>0</v>
      </c>
      <c r="F39" s="155">
        <v>0</v>
      </c>
      <c r="G39" s="419">
        <v>0</v>
      </c>
      <c r="H39" s="269">
        <v>504</v>
      </c>
      <c r="I39" s="15">
        <v>861</v>
      </c>
      <c r="J39" s="331">
        <v>0.58536585365853655</v>
      </c>
      <c r="K39" s="427">
        <v>0.58561282572619222</v>
      </c>
      <c r="L39" s="434">
        <v>0.302594107</v>
      </c>
      <c r="M39" s="14">
        <f>Lisäosat[[#This Row],[HYTE-kerroin (sis. Kulttuurihyte)]]*Lisäosat[[#This Row],[Asukasmäärä 31.12.2023]]</f>
        <v>643.012477375</v>
      </c>
      <c r="N39" s="427">
        <f>Lisäosat[[#This Row],[HYTE-kerroin (sis. Kulttuurihyte)]]/$N$7</f>
        <v>0.4480679071757015</v>
      </c>
      <c r="O39" s="439">
        <v>0</v>
      </c>
      <c r="P39" s="197">
        <v>0</v>
      </c>
      <c r="Q39" s="159">
        <v>0</v>
      </c>
      <c r="R39" s="159">
        <v>16812.21221056682</v>
      </c>
      <c r="S39" s="159">
        <v>18957.19306771996</v>
      </c>
      <c r="T39" s="159">
        <v>0</v>
      </c>
      <c r="U39" s="309">
        <f t="shared" si="1"/>
        <v>35769.40527828678</v>
      </c>
      <c r="V39" s="44"/>
      <c r="W39" s="44"/>
      <c r="X39" s="110"/>
      <c r="Y39" s="110"/>
      <c r="Z39" s="111"/>
    </row>
    <row r="40" spans="1:26" s="45" customFormat="1">
      <c r="A40" s="127">
        <v>105</v>
      </c>
      <c r="B40" s="124" t="s">
        <v>44</v>
      </c>
      <c r="C40" s="408">
        <v>2063</v>
      </c>
      <c r="D40" s="412">
        <v>1.7368999999999999</v>
      </c>
      <c r="E40" s="420">
        <v>0</v>
      </c>
      <c r="F40" s="155">
        <v>0</v>
      </c>
      <c r="G40" s="419">
        <v>0</v>
      </c>
      <c r="H40" s="269">
        <v>493</v>
      </c>
      <c r="I40" s="15">
        <v>615</v>
      </c>
      <c r="J40" s="331">
        <v>0.80162601626016261</v>
      </c>
      <c r="K40" s="427">
        <v>0.80196423078614665</v>
      </c>
      <c r="L40" s="434">
        <v>0.56199346400000005</v>
      </c>
      <c r="M40" s="14">
        <f>Lisäosat[[#This Row],[HYTE-kerroin (sis. Kulttuurihyte)]]*Lisäosat[[#This Row],[Asukasmäärä 31.12.2023]]</f>
        <v>1159.3925162320002</v>
      </c>
      <c r="N40" s="427">
        <f>Lisäosat[[#This Row],[HYTE-kerroin (sis. Kulttuurihyte)]]/$N$7</f>
        <v>0.83217494801015068</v>
      </c>
      <c r="O40" s="439">
        <v>0</v>
      </c>
      <c r="P40" s="197">
        <v>693676.46967299993</v>
      </c>
      <c r="Q40" s="159">
        <v>0</v>
      </c>
      <c r="R40" s="159">
        <v>22351.649331590696</v>
      </c>
      <c r="S40" s="159">
        <v>34181.028432301769</v>
      </c>
      <c r="T40" s="159">
        <v>0</v>
      </c>
      <c r="U40" s="309">
        <f t="shared" si="1"/>
        <v>750209.14743689238</v>
      </c>
      <c r="V40" s="44"/>
      <c r="W40" s="44"/>
      <c r="X40" s="110"/>
      <c r="Y40" s="110"/>
      <c r="Z40" s="111"/>
    </row>
    <row r="41" spans="1:26" s="45" customFormat="1">
      <c r="A41" s="127">
        <v>106</v>
      </c>
      <c r="B41" s="124" t="s">
        <v>45</v>
      </c>
      <c r="C41" s="408">
        <v>46901</v>
      </c>
      <c r="D41" s="412">
        <v>0</v>
      </c>
      <c r="E41" s="420">
        <v>0</v>
      </c>
      <c r="F41" s="155">
        <v>0</v>
      </c>
      <c r="G41" s="419">
        <v>0</v>
      </c>
      <c r="H41" s="269">
        <v>19913</v>
      </c>
      <c r="I41" s="15">
        <v>20917</v>
      </c>
      <c r="J41" s="331">
        <v>0.95200076492804897</v>
      </c>
      <c r="K41" s="427">
        <v>0.95240242415681087</v>
      </c>
      <c r="L41" s="434">
        <v>0.63822285199999995</v>
      </c>
      <c r="M41" s="14">
        <f>Lisäosat[[#This Row],[HYTE-kerroin (sis. Kulttuurihyte)]]*Lisäosat[[#This Row],[Asukasmäärä 31.12.2023]]</f>
        <v>29933.289981651997</v>
      </c>
      <c r="N41" s="427">
        <f>Lisäosat[[#This Row],[HYTE-kerroin (sis. Kulttuurihyte)]]/$N$7</f>
        <v>0.94505203833116114</v>
      </c>
      <c r="O41" s="439">
        <v>0.23262845146382327</v>
      </c>
      <c r="P41" s="197">
        <v>0</v>
      </c>
      <c r="Q41" s="159">
        <v>0</v>
      </c>
      <c r="R41" s="159">
        <v>603473.13854856475</v>
      </c>
      <c r="S41" s="159">
        <v>882488.56328691647</v>
      </c>
      <c r="T41" s="159">
        <v>115214.95394222644</v>
      </c>
      <c r="U41" s="309">
        <f t="shared" si="1"/>
        <v>1601176.6557777077</v>
      </c>
      <c r="V41" s="44"/>
      <c r="W41" s="44"/>
      <c r="X41" s="110"/>
      <c r="Y41" s="110"/>
      <c r="Z41" s="111"/>
    </row>
    <row r="42" spans="1:26" s="45" customFormat="1">
      <c r="A42" s="127">
        <v>108</v>
      </c>
      <c r="B42" s="124" t="s">
        <v>46</v>
      </c>
      <c r="C42" s="408">
        <v>10319</v>
      </c>
      <c r="D42" s="412">
        <v>0</v>
      </c>
      <c r="E42" s="420">
        <v>0</v>
      </c>
      <c r="F42" s="155">
        <v>3</v>
      </c>
      <c r="G42" s="419">
        <v>2.9072584552766739E-4</v>
      </c>
      <c r="H42" s="269">
        <v>2888</v>
      </c>
      <c r="I42" s="15">
        <v>4344</v>
      </c>
      <c r="J42" s="331">
        <v>0.66482504604051562</v>
      </c>
      <c r="K42" s="427">
        <v>0.66510554278494249</v>
      </c>
      <c r="L42" s="434">
        <v>0.71613307299999995</v>
      </c>
      <c r="M42" s="14">
        <f>Lisäosat[[#This Row],[HYTE-kerroin (sis. Kulttuurihyte)]]*Lisäosat[[#This Row],[Asukasmäärä 31.12.2023]]</f>
        <v>7389.7771802869993</v>
      </c>
      <c r="N42" s="427">
        <f>Lisäosat[[#This Row],[HYTE-kerroin (sis. Kulttuurihyte)]]/$N$7</f>
        <v>1.0604180314668648</v>
      </c>
      <c r="O42" s="439">
        <v>0</v>
      </c>
      <c r="P42" s="197">
        <v>0</v>
      </c>
      <c r="Q42" s="159">
        <v>0</v>
      </c>
      <c r="R42" s="159">
        <v>92722.157536930565</v>
      </c>
      <c r="S42" s="159">
        <v>217864.25250412794</v>
      </c>
      <c r="T42" s="159">
        <v>0</v>
      </c>
      <c r="U42" s="309">
        <f t="shared" si="1"/>
        <v>310586.41004105849</v>
      </c>
      <c r="V42" s="44"/>
      <c r="W42" s="44"/>
      <c r="X42" s="110"/>
      <c r="Y42" s="110"/>
      <c r="Z42" s="111"/>
    </row>
    <row r="43" spans="1:26" s="45" customFormat="1">
      <c r="A43" s="127">
        <v>109</v>
      </c>
      <c r="B43" s="124" t="s">
        <v>47</v>
      </c>
      <c r="C43" s="408">
        <v>68319</v>
      </c>
      <c r="D43" s="412">
        <v>0</v>
      </c>
      <c r="E43" s="420">
        <v>0</v>
      </c>
      <c r="F43" s="155">
        <v>6</v>
      </c>
      <c r="G43" s="419">
        <v>8.7823299521363023E-5</v>
      </c>
      <c r="H43" s="269">
        <v>28711</v>
      </c>
      <c r="I43" s="15">
        <v>28302</v>
      </c>
      <c r="J43" s="331">
        <v>1.0144512755282311</v>
      </c>
      <c r="K43" s="427">
        <v>1.0148792832903635</v>
      </c>
      <c r="L43" s="434">
        <v>0.71073389600000003</v>
      </c>
      <c r="M43" s="14">
        <f>Lisäosat[[#This Row],[HYTE-kerroin (sis. Kulttuurihyte)]]*Lisäosat[[#This Row],[Asukasmäärä 31.12.2023]]</f>
        <v>48556.629040824002</v>
      </c>
      <c r="N43" s="427">
        <f>Lisäosat[[#This Row],[HYTE-kerroin (sis. Kulttuurihyte)]]/$N$7</f>
        <v>1.0524231700901985</v>
      </c>
      <c r="O43" s="439">
        <v>0.23094698872228778</v>
      </c>
      <c r="P43" s="197">
        <v>0</v>
      </c>
      <c r="Q43" s="159">
        <v>0</v>
      </c>
      <c r="R43" s="159">
        <v>936723.11507159483</v>
      </c>
      <c r="S43" s="159">
        <v>1431538.9262776801</v>
      </c>
      <c r="T43" s="159">
        <v>166616.39092578986</v>
      </c>
      <c r="U43" s="309">
        <f t="shared" si="1"/>
        <v>2534878.4322750648</v>
      </c>
      <c r="V43" s="44"/>
      <c r="W43" s="44"/>
      <c r="X43" s="110"/>
      <c r="Y43" s="110"/>
      <c r="Z43" s="111"/>
    </row>
    <row r="44" spans="1:26" s="45" customFormat="1">
      <c r="A44" s="127">
        <v>111</v>
      </c>
      <c r="B44" s="124" t="s">
        <v>48</v>
      </c>
      <c r="C44" s="408">
        <v>17953</v>
      </c>
      <c r="D44" s="412">
        <v>0</v>
      </c>
      <c r="E44" s="420">
        <v>0</v>
      </c>
      <c r="F44" s="155">
        <v>1</v>
      </c>
      <c r="G44" s="419">
        <v>5.5700997047847156E-5</v>
      </c>
      <c r="H44" s="269">
        <v>6208</v>
      </c>
      <c r="I44" s="15">
        <v>6351</v>
      </c>
      <c r="J44" s="331">
        <v>0.97748386080932137</v>
      </c>
      <c r="K44" s="427">
        <v>0.97789627162675341</v>
      </c>
      <c r="L44" s="434">
        <v>0.71622506600000002</v>
      </c>
      <c r="M44" s="14">
        <f>Lisäosat[[#This Row],[HYTE-kerroin (sis. Kulttuurihyte)]]*Lisäosat[[#This Row],[Asukasmäärä 31.12.2023]]</f>
        <v>12858.388609898</v>
      </c>
      <c r="N44" s="427">
        <f>Lisäosat[[#This Row],[HYTE-kerroin (sis. Kulttuurihyte)]]/$N$7</f>
        <v>1.060554250613343</v>
      </c>
      <c r="O44" s="439">
        <v>0</v>
      </c>
      <c r="P44" s="197">
        <v>0</v>
      </c>
      <c r="Q44" s="159">
        <v>0</v>
      </c>
      <c r="R44" s="159">
        <v>237183.88053859904</v>
      </c>
      <c r="S44" s="159">
        <v>379088.99748371338</v>
      </c>
      <c r="T44" s="159">
        <v>0</v>
      </c>
      <c r="U44" s="309">
        <f t="shared" si="1"/>
        <v>616272.87802231242</v>
      </c>
      <c r="V44" s="44"/>
      <c r="W44" s="44"/>
      <c r="X44" s="110"/>
      <c r="Y44" s="110"/>
      <c r="Z44" s="111"/>
    </row>
    <row r="45" spans="1:26" s="45" customFormat="1">
      <c r="A45" s="127">
        <v>139</v>
      </c>
      <c r="B45" s="124" t="s">
        <v>49</v>
      </c>
      <c r="C45" s="408">
        <v>9766</v>
      </c>
      <c r="D45" s="412">
        <v>0</v>
      </c>
      <c r="E45" s="420">
        <v>0</v>
      </c>
      <c r="F45" s="155">
        <v>1</v>
      </c>
      <c r="G45" s="419">
        <v>1.0239606799098914E-4</v>
      </c>
      <c r="H45" s="269">
        <v>2489</v>
      </c>
      <c r="I45" s="15">
        <v>3712</v>
      </c>
      <c r="J45" s="331">
        <v>0.67052801724137934</v>
      </c>
      <c r="K45" s="427">
        <v>0.67081092012989618</v>
      </c>
      <c r="L45" s="434">
        <v>0.548281515</v>
      </c>
      <c r="M45" s="14">
        <f>Lisäosat[[#This Row],[HYTE-kerroin (sis. Kulttuurihyte)]]*Lisäosat[[#This Row],[Asukasmäärä 31.12.2023]]</f>
        <v>5354.5172754899995</v>
      </c>
      <c r="N45" s="427">
        <f>Lisäosat[[#This Row],[HYTE-kerroin (sis. Kulttuurihyte)]]/$N$7</f>
        <v>0.8118709032531588</v>
      </c>
      <c r="O45" s="439">
        <v>0</v>
      </c>
      <c r="P45" s="197">
        <v>0</v>
      </c>
      <c r="Q45" s="159">
        <v>0</v>
      </c>
      <c r="R45" s="159">
        <v>88505.893915305525</v>
      </c>
      <c r="S45" s="159">
        <v>157861.03901170165</v>
      </c>
      <c r="T45" s="159">
        <v>0</v>
      </c>
      <c r="U45" s="309">
        <f t="shared" si="1"/>
        <v>246366.93292700718</v>
      </c>
      <c r="V45" s="44"/>
      <c r="W45" s="44"/>
      <c r="X45" s="110"/>
      <c r="Y45" s="110"/>
      <c r="Z45" s="111"/>
    </row>
    <row r="46" spans="1:26" s="45" customFormat="1">
      <c r="A46" s="127">
        <v>140</v>
      </c>
      <c r="B46" s="124" t="s">
        <v>50</v>
      </c>
      <c r="C46" s="408">
        <v>20618</v>
      </c>
      <c r="D46" s="412">
        <v>0.25613333333333332</v>
      </c>
      <c r="E46" s="420">
        <v>0</v>
      </c>
      <c r="F46" s="155">
        <v>2</v>
      </c>
      <c r="G46" s="419">
        <v>9.7002619070714915E-5</v>
      </c>
      <c r="H46" s="269">
        <v>8931</v>
      </c>
      <c r="I46" s="15">
        <v>8065</v>
      </c>
      <c r="J46" s="331">
        <v>1.1073775573465592</v>
      </c>
      <c r="K46" s="427">
        <v>1.107844771693457</v>
      </c>
      <c r="L46" s="434">
        <v>0.66689931000000002</v>
      </c>
      <c r="M46" s="14">
        <f>Lisäosat[[#This Row],[HYTE-kerroin (sis. Kulttuurihyte)]]*Lisäosat[[#This Row],[Asukasmäärä 31.12.2023]]</f>
        <v>13750.12997358</v>
      </c>
      <c r="N46" s="427">
        <f>Lisäosat[[#This Row],[HYTE-kerroin (sis. Kulttuurihyte)]]/$N$7</f>
        <v>0.98751486303274039</v>
      </c>
      <c r="O46" s="439">
        <v>0</v>
      </c>
      <c r="P46" s="197">
        <v>340780.15951200004</v>
      </c>
      <c r="Q46" s="159">
        <v>0</v>
      </c>
      <c r="R46" s="159">
        <v>308589.2527224996</v>
      </c>
      <c r="S46" s="159">
        <v>405379.17659003998</v>
      </c>
      <c r="T46" s="159">
        <v>0</v>
      </c>
      <c r="U46" s="309">
        <f t="shared" si="1"/>
        <v>1054748.5888245394</v>
      </c>
      <c r="V46" s="44"/>
      <c r="W46" s="44"/>
      <c r="X46" s="110"/>
      <c r="Y46" s="110"/>
      <c r="Z46" s="111"/>
    </row>
    <row r="47" spans="1:26" s="45" customFormat="1">
      <c r="A47" s="127">
        <v>142</v>
      </c>
      <c r="B47" s="124" t="s">
        <v>51</v>
      </c>
      <c r="C47" s="408">
        <v>6444</v>
      </c>
      <c r="D47" s="412">
        <v>0</v>
      </c>
      <c r="E47" s="420">
        <v>0</v>
      </c>
      <c r="F47" s="155">
        <v>0</v>
      </c>
      <c r="G47" s="419">
        <v>0</v>
      </c>
      <c r="H47" s="269">
        <v>1952</v>
      </c>
      <c r="I47" s="15">
        <v>2456</v>
      </c>
      <c r="J47" s="331">
        <v>0.7947882736156352</v>
      </c>
      <c r="K47" s="427">
        <v>0.79512360322541087</v>
      </c>
      <c r="L47" s="434">
        <v>0.54545394800000002</v>
      </c>
      <c r="M47" s="14">
        <f>Lisäosat[[#This Row],[HYTE-kerroin (sis. Kulttuurihyte)]]*Lisäosat[[#This Row],[Asukasmäärä 31.12.2023]]</f>
        <v>3514.905240912</v>
      </c>
      <c r="N47" s="427">
        <f>Lisäosat[[#This Row],[HYTE-kerroin (sis. Kulttuurihyte)]]/$N$7</f>
        <v>0.80768396768904671</v>
      </c>
      <c r="O47" s="439">
        <v>0</v>
      </c>
      <c r="P47" s="197">
        <v>0</v>
      </c>
      <c r="Q47" s="159">
        <v>0</v>
      </c>
      <c r="R47" s="159">
        <v>69222.220503983248</v>
      </c>
      <c r="S47" s="159">
        <v>103625.8853618634</v>
      </c>
      <c r="T47" s="159">
        <v>0</v>
      </c>
      <c r="U47" s="309">
        <f t="shared" si="1"/>
        <v>172848.10586584665</v>
      </c>
      <c r="V47" s="44"/>
      <c r="W47" s="44"/>
      <c r="X47" s="110"/>
      <c r="Y47" s="110"/>
      <c r="Z47" s="111"/>
    </row>
    <row r="48" spans="1:26" s="45" customFormat="1">
      <c r="A48" s="127">
        <v>143</v>
      </c>
      <c r="B48" s="124" t="s">
        <v>52</v>
      </c>
      <c r="C48" s="408">
        <v>6850</v>
      </c>
      <c r="D48" s="412">
        <v>8.2533333333333334E-2</v>
      </c>
      <c r="E48" s="420">
        <v>0</v>
      </c>
      <c r="F48" s="155">
        <v>0</v>
      </c>
      <c r="G48" s="419">
        <v>0</v>
      </c>
      <c r="H48" s="269">
        <v>2209</v>
      </c>
      <c r="I48" s="15">
        <v>2463</v>
      </c>
      <c r="J48" s="331">
        <v>0.89687373122208691</v>
      </c>
      <c r="K48" s="427">
        <v>0.89725213177012297</v>
      </c>
      <c r="L48" s="434">
        <v>0.67729674600000001</v>
      </c>
      <c r="M48" s="14">
        <f>Lisäosat[[#This Row],[HYTE-kerroin (sis. Kulttuurihyte)]]*Lisäosat[[#This Row],[Asukasmäärä 31.12.2023]]</f>
        <v>4639.4827101000001</v>
      </c>
      <c r="N48" s="427">
        <f>Lisäosat[[#This Row],[HYTE-kerroin (sis. Kulttuurihyte)]]/$N$7</f>
        <v>1.002910924227393</v>
      </c>
      <c r="O48" s="439">
        <v>0</v>
      </c>
      <c r="P48" s="197">
        <v>36482.250599999999</v>
      </c>
      <c r="Q48" s="159">
        <v>0</v>
      </c>
      <c r="R48" s="159">
        <v>83034.852656468385</v>
      </c>
      <c r="S48" s="159">
        <v>136780.50203436665</v>
      </c>
      <c r="T48" s="159">
        <v>0</v>
      </c>
      <c r="U48" s="309">
        <f t="shared" si="1"/>
        <v>256297.60529083502</v>
      </c>
      <c r="V48" s="44"/>
      <c r="W48" s="44"/>
      <c r="X48" s="110"/>
      <c r="Y48" s="110"/>
      <c r="Z48" s="111"/>
    </row>
    <row r="49" spans="1:26" s="45" customFormat="1">
      <c r="A49" s="127">
        <v>145</v>
      </c>
      <c r="B49" s="124" t="s">
        <v>53</v>
      </c>
      <c r="C49" s="408">
        <v>12343</v>
      </c>
      <c r="D49" s="412">
        <v>0</v>
      </c>
      <c r="E49" s="420">
        <v>0</v>
      </c>
      <c r="F49" s="155">
        <v>0</v>
      </c>
      <c r="G49" s="419">
        <v>0</v>
      </c>
      <c r="H49" s="269">
        <v>3445</v>
      </c>
      <c r="I49" s="15">
        <v>5469</v>
      </c>
      <c r="J49" s="331">
        <v>0.62991406107149384</v>
      </c>
      <c r="K49" s="427">
        <v>0.63017982850076204</v>
      </c>
      <c r="L49" s="434">
        <v>0.58222422600000001</v>
      </c>
      <c r="M49" s="14">
        <f>Lisäosat[[#This Row],[HYTE-kerroin (sis. Kulttuurihyte)]]*Lisäosat[[#This Row],[Asukasmäärä 31.12.2023]]</f>
        <v>7186.3936215180001</v>
      </c>
      <c r="N49" s="427">
        <f>Lisäosat[[#This Row],[HYTE-kerroin (sis. Kulttuurihyte)]]/$N$7</f>
        <v>0.86213176137899028</v>
      </c>
      <c r="O49" s="439">
        <v>0.13323622619731598</v>
      </c>
      <c r="P49" s="197">
        <v>0</v>
      </c>
      <c r="Q49" s="159">
        <v>0</v>
      </c>
      <c r="R49" s="159">
        <v>105084.96300922807</v>
      </c>
      <c r="S49" s="159">
        <v>211868.13030425445</v>
      </c>
      <c r="T49" s="159">
        <v>17366.286853908656</v>
      </c>
      <c r="U49" s="309">
        <f t="shared" si="1"/>
        <v>334319.38016739121</v>
      </c>
      <c r="V49" s="44"/>
      <c r="W49" s="44"/>
      <c r="X49" s="110"/>
      <c r="Y49" s="110"/>
      <c r="Z49" s="111"/>
    </row>
    <row r="50" spans="1:26" s="45" customFormat="1">
      <c r="A50" s="127">
        <v>146</v>
      </c>
      <c r="B50" s="124" t="s">
        <v>54</v>
      </c>
      <c r="C50" s="408">
        <v>4406</v>
      </c>
      <c r="D50" s="412">
        <v>1.5604</v>
      </c>
      <c r="E50" s="420">
        <v>0</v>
      </c>
      <c r="F50" s="155">
        <v>0</v>
      </c>
      <c r="G50" s="419">
        <v>0</v>
      </c>
      <c r="H50" s="269">
        <v>1332</v>
      </c>
      <c r="I50" s="15">
        <v>1364</v>
      </c>
      <c r="J50" s="331">
        <v>0.97653958944281527</v>
      </c>
      <c r="K50" s="427">
        <v>0.97695160186213381</v>
      </c>
      <c r="L50" s="434">
        <v>0.58219555899999997</v>
      </c>
      <c r="M50" s="14">
        <f>Lisäosat[[#This Row],[HYTE-kerroin (sis. Kulttuurihyte)]]*Lisäosat[[#This Row],[Asukasmäärä 31.12.2023]]</f>
        <v>2565.1536329539999</v>
      </c>
      <c r="N50" s="427">
        <f>Lisäosat[[#This Row],[HYTE-kerroin (sis. Kulttuurihyte)]]/$N$7</f>
        <v>0.86208931255927479</v>
      </c>
      <c r="O50" s="439">
        <v>0</v>
      </c>
      <c r="P50" s="197">
        <v>1330954.9454160002</v>
      </c>
      <c r="Q50" s="159">
        <v>0</v>
      </c>
      <c r="R50" s="159">
        <v>58153.102717939633</v>
      </c>
      <c r="S50" s="159">
        <v>75625.457326721036</v>
      </c>
      <c r="T50" s="159">
        <v>0</v>
      </c>
      <c r="U50" s="309">
        <f t="shared" si="1"/>
        <v>1464733.5054606607</v>
      </c>
      <c r="V50" s="44"/>
      <c r="W50" s="44"/>
      <c r="X50" s="110"/>
      <c r="Y50" s="110"/>
      <c r="Z50" s="111"/>
    </row>
    <row r="51" spans="1:26" s="45" customFormat="1">
      <c r="A51" s="127">
        <v>148</v>
      </c>
      <c r="B51" s="124" t="s">
        <v>55</v>
      </c>
      <c r="C51" s="408">
        <v>7127</v>
      </c>
      <c r="D51" s="412">
        <v>1.6087666666666667</v>
      </c>
      <c r="E51" s="420">
        <v>1</v>
      </c>
      <c r="F51" s="155">
        <v>492</v>
      </c>
      <c r="G51" s="419">
        <v>6.9033253823488142E-2</v>
      </c>
      <c r="H51" s="269">
        <v>3226</v>
      </c>
      <c r="I51" s="15">
        <v>3283</v>
      </c>
      <c r="J51" s="331">
        <v>0.98263783125190374</v>
      </c>
      <c r="K51" s="427">
        <v>0.98305241658417786</v>
      </c>
      <c r="L51" s="434">
        <v>0.70408752500000005</v>
      </c>
      <c r="M51" s="14">
        <f>Lisäosat[[#This Row],[HYTE-kerroin (sis. Kulttuurihyte)]]*Lisäosat[[#This Row],[Asukasmäärä 31.12.2023]]</f>
        <v>5018.0317906750006</v>
      </c>
      <c r="N51" s="427">
        <f>Lisäosat[[#This Row],[HYTE-kerroin (sis. Kulttuurihyte)]]/$N$7</f>
        <v>1.0425815192602856</v>
      </c>
      <c r="O51" s="439">
        <v>1.2731337584976983</v>
      </c>
      <c r="P51" s="197">
        <v>2219640.9976530001</v>
      </c>
      <c r="Q51" s="159">
        <v>464202</v>
      </c>
      <c r="R51" s="159">
        <v>94653.958881168335</v>
      </c>
      <c r="S51" s="159">
        <v>147940.82669146199</v>
      </c>
      <c r="T51" s="159">
        <v>95817.472574346291</v>
      </c>
      <c r="U51" s="309">
        <f t="shared" si="1"/>
        <v>3022255.2557999766</v>
      </c>
      <c r="V51" s="44"/>
      <c r="W51" s="44"/>
      <c r="X51" s="110"/>
      <c r="Y51" s="110"/>
      <c r="Z51" s="111"/>
    </row>
    <row r="52" spans="1:26" s="45" customFormat="1">
      <c r="A52" s="127">
        <v>149</v>
      </c>
      <c r="B52" s="124" t="s">
        <v>56</v>
      </c>
      <c r="C52" s="408">
        <v>5379</v>
      </c>
      <c r="D52" s="412">
        <v>0</v>
      </c>
      <c r="E52" s="420">
        <v>0</v>
      </c>
      <c r="F52" s="155">
        <v>0</v>
      </c>
      <c r="G52" s="419">
        <v>0</v>
      </c>
      <c r="H52" s="269">
        <v>1417</v>
      </c>
      <c r="I52" s="15">
        <v>2430</v>
      </c>
      <c r="J52" s="331">
        <v>0.58312757201646093</v>
      </c>
      <c r="K52" s="427">
        <v>0.58337359972933112</v>
      </c>
      <c r="L52" s="434">
        <v>0.74508120700000002</v>
      </c>
      <c r="M52" s="14">
        <f>Lisäosat[[#This Row],[HYTE-kerroin (sis. Kulttuurihyte)]]*Lisäosat[[#This Row],[Asukasmäärä 31.12.2023]]</f>
        <v>4007.7918124530001</v>
      </c>
      <c r="N52" s="427">
        <f>Lisäosat[[#This Row],[HYTE-kerroin (sis. Kulttuurihyte)]]/$N$7</f>
        <v>1.103283141916692</v>
      </c>
      <c r="O52" s="439">
        <v>0.36254582498030558</v>
      </c>
      <c r="P52" s="197">
        <v>0</v>
      </c>
      <c r="Q52" s="159">
        <v>0</v>
      </c>
      <c r="R52" s="159">
        <v>42393.92867067441</v>
      </c>
      <c r="S52" s="159">
        <v>118157.09000556443</v>
      </c>
      <c r="T52" s="159">
        <v>20593.414961529314</v>
      </c>
      <c r="U52" s="309">
        <f t="shared" si="1"/>
        <v>181144.43363776815</v>
      </c>
      <c r="V52" s="44"/>
      <c r="W52" s="44"/>
      <c r="X52" s="110"/>
      <c r="Y52" s="110"/>
      <c r="Z52" s="111"/>
    </row>
    <row r="53" spans="1:26" s="45" customFormat="1">
      <c r="A53" s="127">
        <v>151</v>
      </c>
      <c r="B53" s="124" t="s">
        <v>57</v>
      </c>
      <c r="C53" s="408">
        <v>1814</v>
      </c>
      <c r="D53" s="412">
        <v>1.1155999999999999</v>
      </c>
      <c r="E53" s="420">
        <v>0</v>
      </c>
      <c r="F53" s="155">
        <v>0</v>
      </c>
      <c r="G53" s="419">
        <v>0</v>
      </c>
      <c r="H53" s="269">
        <v>652</v>
      </c>
      <c r="I53" s="15">
        <v>750</v>
      </c>
      <c r="J53" s="331">
        <v>0.86933333333333329</v>
      </c>
      <c r="K53" s="427">
        <v>0.86970011429514282</v>
      </c>
      <c r="L53" s="434">
        <v>0.35383338600000003</v>
      </c>
      <c r="M53" s="14">
        <f>Lisäosat[[#This Row],[HYTE-kerroin (sis. Kulttuurihyte)]]*Lisäosat[[#This Row],[Asukasmäärä 31.12.2023]]</f>
        <v>641.85376220400008</v>
      </c>
      <c r="N53" s="427">
        <f>Lisäosat[[#This Row],[HYTE-kerroin (sis. Kulttuurihyte)]]/$N$7</f>
        <v>0.52394075458287814</v>
      </c>
      <c r="O53" s="439">
        <v>0</v>
      </c>
      <c r="P53" s="197">
        <v>195883.88662799998</v>
      </c>
      <c r="Q53" s="159">
        <v>0</v>
      </c>
      <c r="R53" s="159">
        <v>21313.862459047064</v>
      </c>
      <c r="S53" s="159">
        <v>18923.032008673617</v>
      </c>
      <c r="T53" s="159">
        <v>0</v>
      </c>
      <c r="U53" s="309">
        <f t="shared" si="1"/>
        <v>236120.78109572065</v>
      </c>
      <c r="V53" s="44"/>
      <c r="W53" s="44"/>
      <c r="X53" s="110"/>
      <c r="Y53" s="110"/>
      <c r="Z53" s="111"/>
    </row>
    <row r="54" spans="1:26" s="45" customFormat="1">
      <c r="A54" s="127">
        <v>152</v>
      </c>
      <c r="B54" s="124" t="s">
        <v>58</v>
      </c>
      <c r="C54" s="408">
        <v>4357</v>
      </c>
      <c r="D54" s="412">
        <v>0</v>
      </c>
      <c r="E54" s="420">
        <v>0</v>
      </c>
      <c r="F54" s="155">
        <v>0</v>
      </c>
      <c r="G54" s="419">
        <v>0</v>
      </c>
      <c r="H54" s="269">
        <v>1382</v>
      </c>
      <c r="I54" s="15">
        <v>1792</v>
      </c>
      <c r="J54" s="331">
        <v>0.7712053571428571</v>
      </c>
      <c r="K54" s="427">
        <v>0.77153073686982665</v>
      </c>
      <c r="L54" s="434">
        <v>0.55073383499999995</v>
      </c>
      <c r="M54" s="14">
        <f>Lisäosat[[#This Row],[HYTE-kerroin (sis. Kulttuurihyte)]]*Lisäosat[[#This Row],[Asukasmäärä 31.12.2023]]</f>
        <v>2399.5473190949997</v>
      </c>
      <c r="N54" s="427">
        <f>Lisäosat[[#This Row],[HYTE-kerroin (sis. Kulttuurihyte)]]/$N$7</f>
        <v>0.81550218973464039</v>
      </c>
      <c r="O54" s="439">
        <v>0</v>
      </c>
      <c r="P54" s="197">
        <v>0</v>
      </c>
      <c r="Q54" s="159">
        <v>0</v>
      </c>
      <c r="R54" s="159">
        <v>45414.667771520188</v>
      </c>
      <c r="S54" s="159">
        <v>70743.077939815921</v>
      </c>
      <c r="T54" s="159">
        <v>0</v>
      </c>
      <c r="U54" s="309">
        <f t="shared" si="1"/>
        <v>116157.74571133612</v>
      </c>
      <c r="V54" s="44"/>
      <c r="W54" s="44"/>
      <c r="X54" s="110"/>
      <c r="Y54" s="110"/>
      <c r="Z54" s="111"/>
    </row>
    <row r="55" spans="1:26" s="45" customFormat="1">
      <c r="A55" s="127">
        <v>153</v>
      </c>
      <c r="B55" s="124" t="s">
        <v>59</v>
      </c>
      <c r="C55" s="408">
        <v>24919</v>
      </c>
      <c r="D55" s="412">
        <v>0</v>
      </c>
      <c r="E55" s="420">
        <v>0</v>
      </c>
      <c r="F55" s="155">
        <v>1</v>
      </c>
      <c r="G55" s="419">
        <v>4.0130021268911271E-5</v>
      </c>
      <c r="H55" s="269">
        <v>9139</v>
      </c>
      <c r="I55" s="15">
        <v>9177</v>
      </c>
      <c r="J55" s="331">
        <v>0.99585921325051763</v>
      </c>
      <c r="K55" s="427">
        <v>0.99627937682420953</v>
      </c>
      <c r="L55" s="434">
        <v>0.61117317900000001</v>
      </c>
      <c r="M55" s="14">
        <f>Lisäosat[[#This Row],[HYTE-kerroin (sis. Kulttuurihyte)]]*Lisäosat[[#This Row],[Asukasmäärä 31.12.2023]]</f>
        <v>15229.824447501</v>
      </c>
      <c r="N55" s="427">
        <f>Lisäosat[[#This Row],[HYTE-kerroin (sis. Kulttuurihyte)]]/$N$7</f>
        <v>0.90499808456762321</v>
      </c>
      <c r="O55" s="439">
        <v>0</v>
      </c>
      <c r="P55" s="197">
        <v>0</v>
      </c>
      <c r="Q55" s="159">
        <v>0</v>
      </c>
      <c r="R55" s="159">
        <v>335403.12103752431</v>
      </c>
      <c r="S55" s="159">
        <v>449003.2971325714</v>
      </c>
      <c r="T55" s="159">
        <v>0</v>
      </c>
      <c r="U55" s="309">
        <f t="shared" si="1"/>
        <v>784406.41817009565</v>
      </c>
      <c r="V55" s="44"/>
      <c r="W55" s="44"/>
      <c r="X55" s="110"/>
      <c r="Y55" s="110"/>
      <c r="Z55" s="111"/>
    </row>
    <row r="56" spans="1:26" s="45" customFormat="1">
      <c r="A56" s="127">
        <v>165</v>
      </c>
      <c r="B56" s="124" t="s">
        <v>60</v>
      </c>
      <c r="C56" s="408">
        <v>16123</v>
      </c>
      <c r="D56" s="412">
        <v>0</v>
      </c>
      <c r="E56" s="420">
        <v>0</v>
      </c>
      <c r="F56" s="155">
        <v>0</v>
      </c>
      <c r="G56" s="419">
        <v>0</v>
      </c>
      <c r="H56" s="269">
        <v>5048</v>
      </c>
      <c r="I56" s="15">
        <v>7101</v>
      </c>
      <c r="J56" s="331">
        <v>0.71088579073369951</v>
      </c>
      <c r="K56" s="427">
        <v>0.71118572099527388</v>
      </c>
      <c r="L56" s="434">
        <v>0.646110242</v>
      </c>
      <c r="M56" s="14">
        <f>Lisäosat[[#This Row],[HYTE-kerroin (sis. Kulttuurihyte)]]*Lisäosat[[#This Row],[Asukasmäärä 31.12.2023]]</f>
        <v>10417.235431765999</v>
      </c>
      <c r="N56" s="427">
        <f>Lisäosat[[#This Row],[HYTE-kerroin (sis. Kulttuurihyte)]]/$N$7</f>
        <v>0.95673133494872076</v>
      </c>
      <c r="O56" s="439">
        <v>0</v>
      </c>
      <c r="P56" s="197">
        <v>0</v>
      </c>
      <c r="Q56" s="159">
        <v>0</v>
      </c>
      <c r="R56" s="159">
        <v>154911.70409848788</v>
      </c>
      <c r="S56" s="159">
        <v>307119.3021293605</v>
      </c>
      <c r="T56" s="159">
        <v>0</v>
      </c>
      <c r="U56" s="309">
        <f t="shared" si="1"/>
        <v>462031.00622784835</v>
      </c>
      <c r="V56" s="44"/>
      <c r="W56" s="44"/>
      <c r="X56" s="110"/>
      <c r="Y56" s="110"/>
      <c r="Z56" s="111"/>
    </row>
    <row r="57" spans="1:26" s="45" customFormat="1">
      <c r="A57" s="127">
        <v>167</v>
      </c>
      <c r="B57" s="124" t="s">
        <v>61</v>
      </c>
      <c r="C57" s="408">
        <v>78062</v>
      </c>
      <c r="D57" s="412">
        <v>0</v>
      </c>
      <c r="E57" s="420">
        <v>0</v>
      </c>
      <c r="F57" s="155">
        <v>4</v>
      </c>
      <c r="G57" s="419">
        <v>5.1241321001255416E-5</v>
      </c>
      <c r="H57" s="269">
        <v>35453</v>
      </c>
      <c r="I57" s="15">
        <v>31189</v>
      </c>
      <c r="J57" s="331">
        <v>1.1367148674212062</v>
      </c>
      <c r="K57" s="427">
        <v>1.1371944594906569</v>
      </c>
      <c r="L57" s="434">
        <v>0.70335112300000002</v>
      </c>
      <c r="M57" s="14">
        <f>Lisäosat[[#This Row],[HYTE-kerroin (sis. Kulttuurihyte)]]*Lisäosat[[#This Row],[Asukasmäärä 31.12.2023]]</f>
        <v>54904.995363626003</v>
      </c>
      <c r="N57" s="427">
        <f>Lisäosat[[#This Row],[HYTE-kerroin (sis. Kulttuurihyte)]]/$N$7</f>
        <v>1.041491087902414</v>
      </c>
      <c r="O57" s="439">
        <v>0.4860565864601929</v>
      </c>
      <c r="P57" s="197">
        <v>0</v>
      </c>
      <c r="Q57" s="159">
        <v>0</v>
      </c>
      <c r="R57" s="159">
        <v>1199305.3143452229</v>
      </c>
      <c r="S57" s="159">
        <v>1618700.4671194192</v>
      </c>
      <c r="T57" s="159">
        <v>400673.32010381896</v>
      </c>
      <c r="U57" s="309">
        <f t="shared" si="1"/>
        <v>3218679.1015684609</v>
      </c>
      <c r="V57" s="44"/>
      <c r="W57" s="44"/>
      <c r="X57" s="110"/>
      <c r="Y57" s="110"/>
      <c r="Z57" s="111"/>
    </row>
    <row r="58" spans="1:26" s="45" customFormat="1">
      <c r="A58" s="127">
        <v>169</v>
      </c>
      <c r="B58" s="124" t="s">
        <v>62</v>
      </c>
      <c r="C58" s="408">
        <v>4916</v>
      </c>
      <c r="D58" s="412">
        <v>0</v>
      </c>
      <c r="E58" s="420">
        <v>0</v>
      </c>
      <c r="F58" s="155">
        <v>0</v>
      </c>
      <c r="G58" s="419">
        <v>0</v>
      </c>
      <c r="H58" s="269">
        <v>1664</v>
      </c>
      <c r="I58" s="15">
        <v>2095</v>
      </c>
      <c r="J58" s="331">
        <v>0.79427207637231501</v>
      </c>
      <c r="K58" s="427">
        <v>0.79460718819299403</v>
      </c>
      <c r="L58" s="434">
        <v>0.54867385000000002</v>
      </c>
      <c r="M58" s="14">
        <f>Lisäosat[[#This Row],[HYTE-kerroin (sis. Kulttuurihyte)]]*Lisäosat[[#This Row],[Asukasmäärä 31.12.2023]]</f>
        <v>2697.2806466000002</v>
      </c>
      <c r="N58" s="427">
        <f>Lisäosat[[#This Row],[HYTE-kerroin (sis. Kulttuurihyte)]]/$N$7</f>
        <v>0.81245185548684462</v>
      </c>
      <c r="O58" s="439">
        <v>0</v>
      </c>
      <c r="P58" s="197">
        <v>0</v>
      </c>
      <c r="Q58" s="159">
        <v>0</v>
      </c>
      <c r="R58" s="159">
        <v>52773.963540987803</v>
      </c>
      <c r="S58" s="159">
        <v>79520.805232524959</v>
      </c>
      <c r="T58" s="159">
        <v>0</v>
      </c>
      <c r="U58" s="309">
        <f t="shared" si="1"/>
        <v>132294.76877351277</v>
      </c>
      <c r="V58" s="44"/>
      <c r="W58" s="44"/>
      <c r="X58" s="110"/>
      <c r="Y58" s="110"/>
      <c r="Z58" s="111"/>
    </row>
    <row r="59" spans="1:26" s="45" customFormat="1">
      <c r="A59" s="127">
        <v>171</v>
      </c>
      <c r="B59" s="124" t="s">
        <v>63</v>
      </c>
      <c r="C59" s="408">
        <v>4590</v>
      </c>
      <c r="D59" s="412">
        <v>9.4850000000000004E-2</v>
      </c>
      <c r="E59" s="420">
        <v>0</v>
      </c>
      <c r="F59" s="155">
        <v>0</v>
      </c>
      <c r="G59" s="419">
        <v>0</v>
      </c>
      <c r="H59" s="269">
        <v>1298</v>
      </c>
      <c r="I59" s="15">
        <v>1753</v>
      </c>
      <c r="J59" s="331">
        <v>0.7404449515116942</v>
      </c>
      <c r="K59" s="427">
        <v>0.74075735309698842</v>
      </c>
      <c r="L59" s="434">
        <v>0.618240766</v>
      </c>
      <c r="M59" s="14">
        <f>Lisäosat[[#This Row],[HYTE-kerroin (sis. Kulttuurihyte)]]*Lisäosat[[#This Row],[Asukasmäärä 31.12.2023]]</f>
        <v>2837.7251159399998</v>
      </c>
      <c r="N59" s="427">
        <f>Lisäosat[[#This Row],[HYTE-kerroin (sis. Kulttuurihyte)]]/$N$7</f>
        <v>0.91546345333262746</v>
      </c>
      <c r="O59" s="439">
        <v>0</v>
      </c>
      <c r="P59" s="197">
        <v>28093.877595000002</v>
      </c>
      <c r="Q59" s="159">
        <v>0</v>
      </c>
      <c r="R59" s="159">
        <v>45935.030147162033</v>
      </c>
      <c r="S59" s="159">
        <v>83661.36706336349</v>
      </c>
      <c r="T59" s="159">
        <v>0</v>
      </c>
      <c r="U59" s="309">
        <f t="shared" si="1"/>
        <v>157690.27480552552</v>
      </c>
      <c r="V59" s="44"/>
      <c r="W59" s="44"/>
      <c r="X59" s="110"/>
      <c r="Y59" s="110"/>
      <c r="Z59" s="111"/>
    </row>
    <row r="60" spans="1:26" s="45" customFormat="1">
      <c r="A60" s="127">
        <v>172</v>
      </c>
      <c r="B60" s="124" t="s">
        <v>64</v>
      </c>
      <c r="C60" s="408">
        <v>4079</v>
      </c>
      <c r="D60" s="412">
        <v>1.4112166666666668</v>
      </c>
      <c r="E60" s="420">
        <v>0</v>
      </c>
      <c r="F60" s="155">
        <v>0</v>
      </c>
      <c r="G60" s="419">
        <v>0</v>
      </c>
      <c r="H60" s="269">
        <v>1278</v>
      </c>
      <c r="I60" s="15">
        <v>1409</v>
      </c>
      <c r="J60" s="331">
        <v>0.90702625975869411</v>
      </c>
      <c r="K60" s="427">
        <v>0.90740894376629466</v>
      </c>
      <c r="L60" s="434">
        <v>0.614168932</v>
      </c>
      <c r="M60" s="14">
        <f>Lisäosat[[#This Row],[HYTE-kerroin (sis. Kulttuurihyte)]]*Lisäosat[[#This Row],[Asukasmäärä 31.12.2023]]</f>
        <v>2505.195073628</v>
      </c>
      <c r="N60" s="427">
        <f>Lisäosat[[#This Row],[HYTE-kerroin (sis. Kulttuurihyte)]]/$N$7</f>
        <v>0.90943406248680092</v>
      </c>
      <c r="O60" s="439">
        <v>0</v>
      </c>
      <c r="P60" s="197">
        <v>557186.16766275</v>
      </c>
      <c r="Q60" s="159">
        <v>0</v>
      </c>
      <c r="R60" s="159">
        <v>50004.847812722895</v>
      </c>
      <c r="S60" s="159">
        <v>73857.76847899369</v>
      </c>
      <c r="T60" s="159">
        <v>0</v>
      </c>
      <c r="U60" s="309">
        <f t="shared" si="1"/>
        <v>681048.78395446658</v>
      </c>
      <c r="V60" s="44"/>
      <c r="W60" s="44"/>
      <c r="X60" s="110"/>
      <c r="Y60" s="110"/>
      <c r="Z60" s="111"/>
    </row>
    <row r="61" spans="1:26" s="45" customFormat="1">
      <c r="A61" s="127">
        <v>176</v>
      </c>
      <c r="B61" s="124" t="s">
        <v>65</v>
      </c>
      <c r="C61" s="408">
        <v>4259</v>
      </c>
      <c r="D61" s="412">
        <v>1.5198833333333333</v>
      </c>
      <c r="E61" s="420">
        <v>0</v>
      </c>
      <c r="F61" s="155">
        <v>0</v>
      </c>
      <c r="G61" s="419">
        <v>0</v>
      </c>
      <c r="H61" s="269">
        <v>1338</v>
      </c>
      <c r="I61" s="15">
        <v>1384</v>
      </c>
      <c r="J61" s="331">
        <v>0.9667630057803468</v>
      </c>
      <c r="K61" s="427">
        <v>0.96717089335523398</v>
      </c>
      <c r="L61" s="434">
        <v>0.54946728300000003</v>
      </c>
      <c r="M61" s="14">
        <f>Lisäosat[[#This Row],[HYTE-kerroin (sis. Kulttuurihyte)]]*Lisäosat[[#This Row],[Asukasmäärä 31.12.2023]]</f>
        <v>2340.1811582969999</v>
      </c>
      <c r="N61" s="427">
        <f>Lisäosat[[#This Row],[HYTE-kerroin (sis. Kulttuurihyte)]]/$N$7</f>
        <v>0.81362673581521183</v>
      </c>
      <c r="O61" s="439">
        <v>0</v>
      </c>
      <c r="P61" s="197">
        <v>1253143.5195555</v>
      </c>
      <c r="Q61" s="159">
        <v>0</v>
      </c>
      <c r="R61" s="159">
        <v>55650.133078147206</v>
      </c>
      <c r="S61" s="159">
        <v>68992.854092634414</v>
      </c>
      <c r="T61" s="159">
        <v>0</v>
      </c>
      <c r="U61" s="309">
        <f t="shared" si="1"/>
        <v>1377786.5067262817</v>
      </c>
      <c r="V61" s="44"/>
      <c r="W61" s="44"/>
      <c r="X61" s="110"/>
      <c r="Y61" s="110"/>
      <c r="Z61" s="111"/>
    </row>
    <row r="62" spans="1:26" s="45" customFormat="1">
      <c r="A62" s="127">
        <v>177</v>
      </c>
      <c r="B62" s="124" t="s">
        <v>66</v>
      </c>
      <c r="C62" s="408">
        <v>1708</v>
      </c>
      <c r="D62" s="412">
        <v>0.62613333333333332</v>
      </c>
      <c r="E62" s="420">
        <v>0</v>
      </c>
      <c r="F62" s="155">
        <v>0</v>
      </c>
      <c r="G62" s="419">
        <v>0</v>
      </c>
      <c r="H62" s="269">
        <v>660</v>
      </c>
      <c r="I62" s="15">
        <v>704</v>
      </c>
      <c r="J62" s="331">
        <v>0.9375</v>
      </c>
      <c r="K62" s="427">
        <v>0.93789554120210472</v>
      </c>
      <c r="L62" s="434">
        <v>0.71098906500000003</v>
      </c>
      <c r="M62" s="14">
        <f>Lisäosat[[#This Row],[HYTE-kerroin (sis. Kulttuurihyte)]]*Lisäosat[[#This Row],[Asukasmäärä 31.12.2023]]</f>
        <v>1214.3693230200001</v>
      </c>
      <c r="N62" s="427">
        <f>Lisäosat[[#This Row],[HYTE-kerroin (sis. Kulttuurihyte)]]/$N$7</f>
        <v>1.052801013006373</v>
      </c>
      <c r="O62" s="439">
        <v>0</v>
      </c>
      <c r="P62" s="197">
        <v>69010.687871999995</v>
      </c>
      <c r="Q62" s="159">
        <v>0</v>
      </c>
      <c r="R62" s="159">
        <v>21642.014644881863</v>
      </c>
      <c r="S62" s="159">
        <v>35801.84603257836</v>
      </c>
      <c r="T62" s="159">
        <v>0</v>
      </c>
      <c r="U62" s="309">
        <f t="shared" si="1"/>
        <v>126454.54854946022</v>
      </c>
      <c r="V62" s="44"/>
      <c r="W62" s="44"/>
      <c r="X62" s="110"/>
      <c r="Y62" s="110"/>
      <c r="Z62" s="111"/>
    </row>
    <row r="63" spans="1:26" s="45" customFormat="1">
      <c r="A63" s="127">
        <v>178</v>
      </c>
      <c r="B63" s="124" t="s">
        <v>67</v>
      </c>
      <c r="C63" s="408">
        <v>5734</v>
      </c>
      <c r="D63" s="412">
        <v>0.82289999999999996</v>
      </c>
      <c r="E63" s="420">
        <v>0</v>
      </c>
      <c r="F63" s="155">
        <v>0</v>
      </c>
      <c r="G63" s="419">
        <v>0</v>
      </c>
      <c r="H63" s="269">
        <v>1787</v>
      </c>
      <c r="I63" s="15">
        <v>2160</v>
      </c>
      <c r="J63" s="331">
        <v>0.82731481481481484</v>
      </c>
      <c r="K63" s="427">
        <v>0.82766386771761047</v>
      </c>
      <c r="L63" s="434">
        <v>0.60479998499999998</v>
      </c>
      <c r="M63" s="14">
        <f>Lisäosat[[#This Row],[HYTE-kerroin (sis. Kulttuurihyte)]]*Lisäosat[[#This Row],[Asukasmäärä 31.12.2023]]</f>
        <v>3467.9231139899998</v>
      </c>
      <c r="N63" s="427">
        <f>Lisäosat[[#This Row],[HYTE-kerroin (sis. Kulttuurihyte)]]/$N$7</f>
        <v>0.89556094210005766</v>
      </c>
      <c r="O63" s="439">
        <v>0</v>
      </c>
      <c r="P63" s="197">
        <v>304485.35995800002</v>
      </c>
      <c r="Q63" s="159">
        <v>0</v>
      </c>
      <c r="R63" s="159">
        <v>64116.09058232743</v>
      </c>
      <c r="S63" s="159">
        <v>102240.76566025446</v>
      </c>
      <c r="T63" s="159">
        <v>0</v>
      </c>
      <c r="U63" s="309">
        <f t="shared" si="1"/>
        <v>470842.21620058193</v>
      </c>
      <c r="V63" s="44"/>
      <c r="W63" s="44"/>
      <c r="X63" s="110"/>
      <c r="Y63" s="110"/>
      <c r="Z63" s="111"/>
    </row>
    <row r="64" spans="1:26" s="45" customFormat="1">
      <c r="A64" s="127">
        <v>179</v>
      </c>
      <c r="B64" s="124" t="s">
        <v>68</v>
      </c>
      <c r="C64" s="408">
        <v>147746</v>
      </c>
      <c r="D64" s="412">
        <v>0</v>
      </c>
      <c r="E64" s="420">
        <v>0</v>
      </c>
      <c r="F64" s="155">
        <v>16</v>
      </c>
      <c r="G64" s="419">
        <v>1.0829396396518349E-4</v>
      </c>
      <c r="H64" s="269">
        <v>67071</v>
      </c>
      <c r="I64" s="15">
        <v>63193</v>
      </c>
      <c r="J64" s="331">
        <v>1.0613675565331604</v>
      </c>
      <c r="K64" s="427">
        <v>1.0618153587722923</v>
      </c>
      <c r="L64" s="434">
        <v>0.72120636500000002</v>
      </c>
      <c r="M64" s="14">
        <f>Lisäosat[[#This Row],[HYTE-kerroin (sis. Kulttuurihyte)]]*Lisäosat[[#This Row],[Asukasmäärä 31.12.2023]]</f>
        <v>106555.35560329001</v>
      </c>
      <c r="N64" s="427">
        <f>Lisäosat[[#This Row],[HYTE-kerroin (sis. Kulttuurihyte)]]/$N$7</f>
        <v>1.0679303368169861</v>
      </c>
      <c r="O64" s="439">
        <v>0.99573691249661422</v>
      </c>
      <c r="P64" s="197">
        <v>0</v>
      </c>
      <c r="Q64" s="159">
        <v>0</v>
      </c>
      <c r="R64" s="159">
        <v>2119434.9116817815</v>
      </c>
      <c r="S64" s="159">
        <v>3141448.2916683462</v>
      </c>
      <c r="T64" s="159">
        <v>1553546.5004265336</v>
      </c>
      <c r="U64" s="309">
        <f t="shared" si="1"/>
        <v>6814429.7037766613</v>
      </c>
      <c r="V64" s="44"/>
      <c r="W64" s="44"/>
      <c r="X64" s="110"/>
      <c r="Y64" s="110"/>
      <c r="Z64" s="111"/>
    </row>
    <row r="65" spans="1:26" s="45" customFormat="1">
      <c r="A65" s="127">
        <v>181</v>
      </c>
      <c r="B65" s="124" t="s">
        <v>69</v>
      </c>
      <c r="C65" s="408">
        <v>1682</v>
      </c>
      <c r="D65" s="412">
        <v>0.38423333333333332</v>
      </c>
      <c r="E65" s="420">
        <v>0</v>
      </c>
      <c r="F65" s="155">
        <v>0</v>
      </c>
      <c r="G65" s="419">
        <v>0</v>
      </c>
      <c r="H65" s="269">
        <v>449</v>
      </c>
      <c r="I65" s="15">
        <v>680</v>
      </c>
      <c r="J65" s="331">
        <v>0.66029411764705881</v>
      </c>
      <c r="K65" s="427">
        <v>0.66057270274469804</v>
      </c>
      <c r="L65" s="434">
        <v>0.671244748</v>
      </c>
      <c r="M65" s="14">
        <f>Lisäosat[[#This Row],[HYTE-kerroin (sis. Kulttuurihyte)]]*Lisäosat[[#This Row],[Asukasmäärä 31.12.2023]]</f>
        <v>1129.033666136</v>
      </c>
      <c r="N65" s="427">
        <f>Lisäosat[[#This Row],[HYTE-kerroin (sis. Kulttuurihyte)]]/$N$7</f>
        <v>0.99394939452353959</v>
      </c>
      <c r="O65" s="439">
        <v>0</v>
      </c>
      <c r="P65" s="197">
        <v>41704.478513999995</v>
      </c>
      <c r="Q65" s="159">
        <v>0</v>
      </c>
      <c r="R65" s="159">
        <v>15010.735194084025</v>
      </c>
      <c r="S65" s="159">
        <v>33285.993572428903</v>
      </c>
      <c r="T65" s="159">
        <v>0</v>
      </c>
      <c r="U65" s="309">
        <f t="shared" si="1"/>
        <v>90001.207280512928</v>
      </c>
      <c r="V65" s="44"/>
      <c r="W65" s="44"/>
      <c r="X65" s="110"/>
      <c r="Y65" s="110"/>
      <c r="Z65" s="111"/>
    </row>
    <row r="66" spans="1:26" s="45" customFormat="1">
      <c r="A66" s="127">
        <v>182</v>
      </c>
      <c r="B66" s="124" t="s">
        <v>70</v>
      </c>
      <c r="C66" s="408">
        <v>19182</v>
      </c>
      <c r="D66" s="412">
        <v>0.24018333333333333</v>
      </c>
      <c r="E66" s="420">
        <v>0</v>
      </c>
      <c r="F66" s="155">
        <v>1</v>
      </c>
      <c r="G66" s="419">
        <v>5.2132207277656134E-5</v>
      </c>
      <c r="H66" s="269">
        <v>6978</v>
      </c>
      <c r="I66" s="15">
        <v>7166</v>
      </c>
      <c r="J66" s="331">
        <v>0.97376500139547861</v>
      </c>
      <c r="K66" s="427">
        <v>0.97417584318664607</v>
      </c>
      <c r="L66" s="434">
        <v>0.65716583900000003</v>
      </c>
      <c r="M66" s="14">
        <f>Lisäosat[[#This Row],[HYTE-kerroin (sis. Kulttuurihyte)]]*Lisäosat[[#This Row],[Asukasmäärä 31.12.2023]]</f>
        <v>12605.755123698</v>
      </c>
      <c r="N66" s="427">
        <f>Lisäosat[[#This Row],[HYTE-kerroin (sis. Kulttuurihyte)]]/$N$7</f>
        <v>0.97310197170526525</v>
      </c>
      <c r="O66" s="439">
        <v>0</v>
      </c>
      <c r="P66" s="197">
        <v>297302.40305100003</v>
      </c>
      <c r="Q66" s="159">
        <v>0</v>
      </c>
      <c r="R66" s="159">
        <v>252456.52023432433</v>
      </c>
      <c r="S66" s="159">
        <v>371640.89664309548</v>
      </c>
      <c r="T66" s="159">
        <v>0</v>
      </c>
      <c r="U66" s="309">
        <f t="shared" si="1"/>
        <v>921399.81992841978</v>
      </c>
      <c r="V66" s="44"/>
      <c r="W66" s="44"/>
      <c r="X66" s="110"/>
      <c r="Y66" s="110"/>
      <c r="Z66" s="111"/>
    </row>
    <row r="67" spans="1:26" s="45" customFormat="1">
      <c r="A67" s="127">
        <v>186</v>
      </c>
      <c r="B67" s="124" t="s">
        <v>71</v>
      </c>
      <c r="C67" s="408">
        <v>46490</v>
      </c>
      <c r="D67" s="412">
        <v>0</v>
      </c>
      <c r="E67" s="420">
        <v>0</v>
      </c>
      <c r="F67" s="155">
        <v>4</v>
      </c>
      <c r="G67" s="419">
        <v>8.6040008604000863E-5</v>
      </c>
      <c r="H67" s="269">
        <v>14245</v>
      </c>
      <c r="I67" s="15">
        <v>21661</v>
      </c>
      <c r="J67" s="331">
        <v>0.6576335349245187</v>
      </c>
      <c r="K67" s="427">
        <v>0.65791099749406368</v>
      </c>
      <c r="L67" s="434">
        <v>0.68599608300000003</v>
      </c>
      <c r="M67" s="14">
        <f>Lisäosat[[#This Row],[HYTE-kerroin (sis. Kulttuurihyte)]]*Lisäosat[[#This Row],[Asukasmäärä 31.12.2023]]</f>
        <v>31891.95789867</v>
      </c>
      <c r="N67" s="427">
        <f>Lisäosat[[#This Row],[HYTE-kerroin (sis. Kulttuurihyte)]]/$N$7</f>
        <v>1.0157925158818075</v>
      </c>
      <c r="O67" s="439">
        <v>1.5041181752864174</v>
      </c>
      <c r="P67" s="197">
        <v>0</v>
      </c>
      <c r="Q67" s="159">
        <v>0</v>
      </c>
      <c r="R67" s="159">
        <v>413220.67351497174</v>
      </c>
      <c r="S67" s="159">
        <v>940233.70380120364</v>
      </c>
      <c r="T67" s="159">
        <v>738423.35391333222</v>
      </c>
      <c r="U67" s="309">
        <f t="shared" si="1"/>
        <v>2091877.7312295078</v>
      </c>
      <c r="V67" s="44"/>
      <c r="W67" s="44"/>
      <c r="X67" s="110"/>
      <c r="Y67" s="110"/>
      <c r="Z67" s="111"/>
    </row>
    <row r="68" spans="1:26" s="45" customFormat="1">
      <c r="A68" s="127">
        <v>202</v>
      </c>
      <c r="B68" s="124" t="s">
        <v>72</v>
      </c>
      <c r="C68" s="408">
        <v>36339</v>
      </c>
      <c r="D68" s="412">
        <v>0</v>
      </c>
      <c r="E68" s="420">
        <v>0</v>
      </c>
      <c r="F68" s="155">
        <v>0</v>
      </c>
      <c r="G68" s="419">
        <v>0</v>
      </c>
      <c r="H68" s="269">
        <v>10672</v>
      </c>
      <c r="I68" s="15">
        <v>16655</v>
      </c>
      <c r="J68" s="331">
        <v>0.64076853797658362</v>
      </c>
      <c r="K68" s="427">
        <v>0.6410388850248846</v>
      </c>
      <c r="L68" s="434">
        <v>0.650568543</v>
      </c>
      <c r="M68" s="14">
        <f>Lisäosat[[#This Row],[HYTE-kerroin (sis. Kulttuurihyte)]]*Lisäosat[[#This Row],[Asukasmäärä 31.12.2023]]</f>
        <v>23641.010284077001</v>
      </c>
      <c r="N68" s="427">
        <f>Lisäosat[[#This Row],[HYTE-kerroin (sis. Kulttuurihyte)]]/$N$7</f>
        <v>0.96333298895459119</v>
      </c>
      <c r="O68" s="439">
        <v>1.5842318841687557</v>
      </c>
      <c r="P68" s="197">
        <v>0</v>
      </c>
      <c r="Q68" s="159">
        <v>0</v>
      </c>
      <c r="R68" s="159">
        <v>314711.55969983945</v>
      </c>
      <c r="S68" s="159">
        <v>696980.55953871191</v>
      </c>
      <c r="T68" s="159">
        <v>607932.88975381688</v>
      </c>
      <c r="U68" s="309">
        <f t="shared" si="1"/>
        <v>1619625.0089923684</v>
      </c>
      <c r="V68" s="44"/>
      <c r="W68" s="44"/>
      <c r="X68" s="110"/>
      <c r="Y68" s="110"/>
      <c r="Z68" s="111"/>
    </row>
    <row r="69" spans="1:26" s="45" customFormat="1">
      <c r="A69" s="127">
        <v>204</v>
      </c>
      <c r="B69" s="124" t="s">
        <v>73</v>
      </c>
      <c r="C69" s="408">
        <v>2628</v>
      </c>
      <c r="D69" s="412">
        <v>1.1962833333333334</v>
      </c>
      <c r="E69" s="420">
        <v>0</v>
      </c>
      <c r="F69" s="155">
        <v>0</v>
      </c>
      <c r="G69" s="419">
        <v>0</v>
      </c>
      <c r="H69" s="269">
        <v>765</v>
      </c>
      <c r="I69" s="15">
        <v>864</v>
      </c>
      <c r="J69" s="331">
        <v>0.88541666666666663</v>
      </c>
      <c r="K69" s="427">
        <v>0.88579023335754337</v>
      </c>
      <c r="L69" s="434">
        <v>0.52427396800000003</v>
      </c>
      <c r="M69" s="14">
        <f>Lisäosat[[#This Row],[HYTE-kerroin (sis. Kulttuurihyte)]]*Lisäosat[[#This Row],[Asukasmäärä 31.12.2023]]</f>
        <v>1377.7919879040001</v>
      </c>
      <c r="N69" s="427">
        <f>Lisäosat[[#This Row],[HYTE-kerroin (sis. Kulttuurihyte)]]/$N$7</f>
        <v>0.77632159448650706</v>
      </c>
      <c r="O69" s="439">
        <v>0</v>
      </c>
      <c r="P69" s="197">
        <v>304307.27651699999</v>
      </c>
      <c r="Q69" s="159">
        <v>0</v>
      </c>
      <c r="R69" s="159">
        <v>31449.344466391558</v>
      </c>
      <c r="S69" s="159">
        <v>40619.847422682862</v>
      </c>
      <c r="T69" s="159">
        <v>0</v>
      </c>
      <c r="U69" s="309">
        <f t="shared" si="1"/>
        <v>376376.46840607439</v>
      </c>
      <c r="V69" s="44"/>
      <c r="W69" s="44"/>
      <c r="X69" s="110"/>
      <c r="Y69" s="110"/>
      <c r="Z69" s="111"/>
    </row>
    <row r="70" spans="1:26" s="45" customFormat="1">
      <c r="A70" s="127">
        <v>205</v>
      </c>
      <c r="B70" s="124" t="s">
        <v>74</v>
      </c>
      <c r="C70" s="408">
        <v>36513</v>
      </c>
      <c r="D70" s="412">
        <v>0.18211666666666668</v>
      </c>
      <c r="E70" s="420">
        <v>0</v>
      </c>
      <c r="F70" s="155">
        <v>2</v>
      </c>
      <c r="G70" s="419">
        <v>5.4775011639689975E-5</v>
      </c>
      <c r="H70" s="269">
        <v>15797</v>
      </c>
      <c r="I70" s="15">
        <v>14934</v>
      </c>
      <c r="J70" s="331">
        <v>1.0577875987679122</v>
      </c>
      <c r="K70" s="427">
        <v>1.0582338905848596</v>
      </c>
      <c r="L70" s="434">
        <v>0.63383186499999999</v>
      </c>
      <c r="M70" s="14">
        <f>Lisäosat[[#This Row],[HYTE-kerroin (sis. Kulttuurihyte)]]*Lisäosat[[#This Row],[Asukasmäärä 31.12.2023]]</f>
        <v>23143.102886745</v>
      </c>
      <c r="N70" s="427">
        <f>Lisäosat[[#This Row],[HYTE-kerroin (sis. Kulttuurihyte)]]/$N$7</f>
        <v>0.93855005990523721</v>
      </c>
      <c r="O70" s="439">
        <v>0</v>
      </c>
      <c r="P70" s="197">
        <v>429100.35610050004</v>
      </c>
      <c r="Q70" s="159">
        <v>0</v>
      </c>
      <c r="R70" s="159">
        <v>522016.86257395649</v>
      </c>
      <c r="S70" s="159">
        <v>682301.33169603976</v>
      </c>
      <c r="T70" s="159">
        <v>0</v>
      </c>
      <c r="U70" s="309">
        <f t="shared" si="1"/>
        <v>1633418.5503704962</v>
      </c>
      <c r="V70" s="44"/>
      <c r="W70" s="44"/>
      <c r="X70" s="110"/>
      <c r="Y70" s="110"/>
      <c r="Z70" s="111"/>
    </row>
    <row r="71" spans="1:26" s="45" customFormat="1">
      <c r="A71" s="127">
        <v>208</v>
      </c>
      <c r="B71" s="124" t="s">
        <v>75</v>
      </c>
      <c r="C71" s="408">
        <v>12372</v>
      </c>
      <c r="D71" s="412">
        <v>0.45220000000000005</v>
      </c>
      <c r="E71" s="420">
        <v>0</v>
      </c>
      <c r="F71" s="155">
        <v>3</v>
      </c>
      <c r="G71" s="419">
        <v>2.4248302618816683E-4</v>
      </c>
      <c r="H71" s="269">
        <v>4598</v>
      </c>
      <c r="I71" s="15">
        <v>4964</v>
      </c>
      <c r="J71" s="331">
        <v>0.92626913779210318</v>
      </c>
      <c r="K71" s="427">
        <v>0.9266599405742203</v>
      </c>
      <c r="L71" s="434">
        <v>0.72012193199999996</v>
      </c>
      <c r="M71" s="14">
        <f>Lisäosat[[#This Row],[HYTE-kerroin (sis. Kulttuurihyte)]]*Lisäosat[[#This Row],[Asukasmäärä 31.12.2023]]</f>
        <v>8909.3485427039996</v>
      </c>
      <c r="N71" s="427">
        <f>Lisäosat[[#This Row],[HYTE-kerroin (sis. Kulttuurihyte)]]/$N$7</f>
        <v>1.0663245566198776</v>
      </c>
      <c r="O71" s="439">
        <v>0</v>
      </c>
      <c r="P71" s="197">
        <v>361020.72535200004</v>
      </c>
      <c r="Q71" s="159">
        <v>0</v>
      </c>
      <c r="R71" s="159">
        <v>154887.24296243527</v>
      </c>
      <c r="S71" s="159">
        <v>262664.0172227174</v>
      </c>
      <c r="T71" s="159">
        <v>0</v>
      </c>
      <c r="U71" s="309">
        <f t="shared" si="1"/>
        <v>778571.98553715274</v>
      </c>
      <c r="V71" s="44"/>
      <c r="W71" s="44"/>
      <c r="X71" s="110"/>
      <c r="Y71" s="110"/>
      <c r="Z71" s="111"/>
    </row>
    <row r="72" spans="1:26" s="45" customFormat="1">
      <c r="A72" s="127">
        <v>211</v>
      </c>
      <c r="B72" s="124" t="s">
        <v>76</v>
      </c>
      <c r="C72" s="408">
        <v>33473</v>
      </c>
      <c r="D72" s="412">
        <v>0</v>
      </c>
      <c r="E72" s="420">
        <v>0</v>
      </c>
      <c r="F72" s="155">
        <v>2</v>
      </c>
      <c r="G72" s="419">
        <v>5.9749648970812297E-5</v>
      </c>
      <c r="H72" s="269">
        <v>8909</v>
      </c>
      <c r="I72" s="15">
        <v>15130</v>
      </c>
      <c r="J72" s="331">
        <v>0.5888301387970919</v>
      </c>
      <c r="K72" s="427">
        <v>0.58907857248342288</v>
      </c>
      <c r="L72" s="434">
        <v>0.67257269500000005</v>
      </c>
      <c r="M72" s="14">
        <f>Lisäosat[[#This Row],[HYTE-kerroin (sis. Kulttuurihyte)]]*Lisäosat[[#This Row],[Asukasmäärä 31.12.2023]]</f>
        <v>22513.025819735001</v>
      </c>
      <c r="N72" s="427">
        <f>Lisäosat[[#This Row],[HYTE-kerroin (sis. Kulttuurihyte)]]/$N$7</f>
        <v>0.9959157594307394</v>
      </c>
      <c r="O72" s="439">
        <v>1.2863628663567199</v>
      </c>
      <c r="P72" s="197">
        <v>0</v>
      </c>
      <c r="Q72" s="159">
        <v>0</v>
      </c>
      <c r="R72" s="159">
        <v>266393.24753652519</v>
      </c>
      <c r="S72" s="159">
        <v>663725.49836911459</v>
      </c>
      <c r="T72" s="159">
        <v>454696.95982189762</v>
      </c>
      <c r="U72" s="309">
        <f t="shared" si="1"/>
        <v>1384815.7057275374</v>
      </c>
      <c r="V72" s="44"/>
      <c r="W72" s="44"/>
      <c r="X72" s="110"/>
      <c r="Y72" s="110"/>
      <c r="Z72" s="111"/>
    </row>
    <row r="73" spans="1:26" s="45" customFormat="1">
      <c r="A73" s="127">
        <v>213</v>
      </c>
      <c r="B73" s="124" t="s">
        <v>77</v>
      </c>
      <c r="C73" s="408">
        <v>5114</v>
      </c>
      <c r="D73" s="412">
        <v>1.0241166666666668</v>
      </c>
      <c r="E73" s="420">
        <v>0</v>
      </c>
      <c r="F73" s="155">
        <v>0</v>
      </c>
      <c r="G73" s="419">
        <v>0</v>
      </c>
      <c r="H73" s="269">
        <v>1593</v>
      </c>
      <c r="I73" s="15">
        <v>1813</v>
      </c>
      <c r="J73" s="331">
        <v>0.87865416436845012</v>
      </c>
      <c r="K73" s="427">
        <v>0.87902487788781936</v>
      </c>
      <c r="L73" s="434">
        <v>0.52847416899999999</v>
      </c>
      <c r="M73" s="14">
        <f>Lisäosat[[#This Row],[HYTE-kerroin (sis. Kulttuurihyte)]]*Lisäosat[[#This Row],[Asukasmäärä 31.12.2023]]</f>
        <v>2702.6169002659999</v>
      </c>
      <c r="N73" s="427">
        <f>Lisäosat[[#This Row],[HYTE-kerroin (sis. Kulttuurihyte)]]/$N$7</f>
        <v>0.78254106548164859</v>
      </c>
      <c r="O73" s="439">
        <v>0</v>
      </c>
      <c r="P73" s="197">
        <v>506947.61224350007</v>
      </c>
      <c r="Q73" s="159">
        <v>0</v>
      </c>
      <c r="R73" s="159">
        <v>60731.951876752348</v>
      </c>
      <c r="S73" s="159">
        <v>79678.127826664437</v>
      </c>
      <c r="T73" s="159">
        <v>0</v>
      </c>
      <c r="U73" s="309">
        <f t="shared" ref="U73:U136" si="2">SUM(P73:T73)</f>
        <v>647357.69194691686</v>
      </c>
      <c r="V73" s="44"/>
      <c r="W73" s="44"/>
      <c r="X73" s="110"/>
      <c r="Y73" s="110"/>
      <c r="Z73" s="111"/>
    </row>
    <row r="74" spans="1:26" s="45" customFormat="1">
      <c r="A74" s="127">
        <v>214</v>
      </c>
      <c r="B74" s="124" t="s">
        <v>78</v>
      </c>
      <c r="C74" s="408">
        <v>12394</v>
      </c>
      <c r="D74" s="412">
        <v>0.30081666666666668</v>
      </c>
      <c r="E74" s="420">
        <v>0</v>
      </c>
      <c r="F74" s="155">
        <v>0</v>
      </c>
      <c r="G74" s="419">
        <v>0</v>
      </c>
      <c r="H74" s="269">
        <v>5320</v>
      </c>
      <c r="I74" s="15">
        <v>4846</v>
      </c>
      <c r="J74" s="331">
        <v>1.0978126289723484</v>
      </c>
      <c r="K74" s="427">
        <v>1.0982758077744279</v>
      </c>
      <c r="L74" s="434">
        <v>0.67076522599999999</v>
      </c>
      <c r="M74" s="14">
        <f>Lisäosat[[#This Row],[HYTE-kerroin (sis. Kulttuurihyte)]]*Lisäosat[[#This Row],[Asukasmäärä 31.12.2023]]</f>
        <v>8313.464211044</v>
      </c>
      <c r="N74" s="427">
        <f>Lisäosat[[#This Row],[HYTE-kerroin (sis. Kulttuurihyte)]]/$N$7</f>
        <v>0.99323933965461009</v>
      </c>
      <c r="O74" s="439">
        <v>0</v>
      </c>
      <c r="P74" s="197">
        <v>240588.60360300003</v>
      </c>
      <c r="Q74" s="159">
        <v>0</v>
      </c>
      <c r="R74" s="159">
        <v>183898.53018462507</v>
      </c>
      <c r="S74" s="159">
        <v>245096.24875977362</v>
      </c>
      <c r="T74" s="159">
        <v>0</v>
      </c>
      <c r="U74" s="309">
        <f t="shared" si="2"/>
        <v>669583.3825473988</v>
      </c>
      <c r="V74" s="44"/>
      <c r="W74" s="44"/>
      <c r="X74" s="110"/>
      <c r="Y74" s="110"/>
      <c r="Z74" s="111"/>
    </row>
    <row r="75" spans="1:26" s="45" customFormat="1">
      <c r="A75" s="127">
        <v>216</v>
      </c>
      <c r="B75" s="124" t="s">
        <v>79</v>
      </c>
      <c r="C75" s="408">
        <v>1217</v>
      </c>
      <c r="D75" s="412">
        <v>1.5251000000000001</v>
      </c>
      <c r="E75" s="420">
        <v>0</v>
      </c>
      <c r="F75" s="155">
        <v>0</v>
      </c>
      <c r="G75" s="419">
        <v>0</v>
      </c>
      <c r="H75" s="269">
        <v>382</v>
      </c>
      <c r="I75" s="15">
        <v>426</v>
      </c>
      <c r="J75" s="331">
        <v>0.89671361502347413</v>
      </c>
      <c r="K75" s="427">
        <v>0.89709194801678627</v>
      </c>
      <c r="L75" s="434">
        <v>0.63153926400000004</v>
      </c>
      <c r="M75" s="14">
        <f>Lisäosat[[#This Row],[HYTE-kerroin (sis. Kulttuurihyte)]]*Lisäosat[[#This Row],[Asukasmäärä 31.12.2023]]</f>
        <v>768.58328428800007</v>
      </c>
      <c r="N75" s="427">
        <f>Lisäosat[[#This Row],[HYTE-kerroin (sis. Kulttuurihyte)]]/$N$7</f>
        <v>0.93515527822147204</v>
      </c>
      <c r="O75" s="439">
        <v>0</v>
      </c>
      <c r="P75" s="197">
        <v>359312.08065300004</v>
      </c>
      <c r="Q75" s="159">
        <v>0</v>
      </c>
      <c r="R75" s="159">
        <v>14749.689768949156</v>
      </c>
      <c r="S75" s="159">
        <v>22659.251914287033</v>
      </c>
      <c r="T75" s="159">
        <v>0</v>
      </c>
      <c r="U75" s="309">
        <f t="shared" si="2"/>
        <v>396721.02233623626</v>
      </c>
      <c r="V75" s="44"/>
      <c r="W75" s="44"/>
      <c r="X75" s="110"/>
      <c r="Y75" s="110"/>
      <c r="Z75" s="111"/>
    </row>
    <row r="76" spans="1:26" s="45" customFormat="1">
      <c r="A76" s="127">
        <v>217</v>
      </c>
      <c r="B76" s="124" t="s">
        <v>80</v>
      </c>
      <c r="C76" s="408">
        <v>5246</v>
      </c>
      <c r="D76" s="412">
        <v>0.19186666666666666</v>
      </c>
      <c r="E76" s="420">
        <v>0</v>
      </c>
      <c r="F76" s="155">
        <v>0</v>
      </c>
      <c r="G76" s="419">
        <v>0</v>
      </c>
      <c r="H76" s="269">
        <v>2064</v>
      </c>
      <c r="I76" s="15">
        <v>2225</v>
      </c>
      <c r="J76" s="331">
        <v>0.92764044943820223</v>
      </c>
      <c r="K76" s="427">
        <v>0.92803183079126017</v>
      </c>
      <c r="L76" s="434">
        <v>0.71029774199999995</v>
      </c>
      <c r="M76" s="14">
        <f>Lisäosat[[#This Row],[HYTE-kerroin (sis. Kulttuurihyte)]]*Lisäosat[[#This Row],[Asukasmäärä 31.12.2023]]</f>
        <v>3726.2219545319999</v>
      </c>
      <c r="N76" s="427">
        <f>Lisäosat[[#This Row],[HYTE-kerroin (sis. Kulttuurihyte)]]/$N$7</f>
        <v>1.0517773326285114</v>
      </c>
      <c r="O76" s="439">
        <v>0</v>
      </c>
      <c r="P76" s="197">
        <v>64951.544375999998</v>
      </c>
      <c r="Q76" s="159">
        <v>0</v>
      </c>
      <c r="R76" s="159">
        <v>65772.826838311143</v>
      </c>
      <c r="S76" s="159">
        <v>109855.89158955618</v>
      </c>
      <c r="T76" s="159">
        <v>0</v>
      </c>
      <c r="U76" s="309">
        <f t="shared" si="2"/>
        <v>240580.26280386731</v>
      </c>
      <c r="V76" s="44"/>
      <c r="W76" s="44"/>
      <c r="X76" s="110"/>
      <c r="Y76" s="110"/>
      <c r="Z76" s="111"/>
    </row>
    <row r="77" spans="1:26" s="45" customFormat="1">
      <c r="A77" s="127">
        <v>218</v>
      </c>
      <c r="B77" s="124" t="s">
        <v>81</v>
      </c>
      <c r="C77" s="408">
        <v>1188</v>
      </c>
      <c r="D77" s="412">
        <v>0.60636666666666672</v>
      </c>
      <c r="E77" s="420">
        <v>0</v>
      </c>
      <c r="F77" s="155">
        <v>0</v>
      </c>
      <c r="G77" s="419">
        <v>0</v>
      </c>
      <c r="H77" s="269">
        <v>342</v>
      </c>
      <c r="I77" s="15">
        <v>450</v>
      </c>
      <c r="J77" s="331">
        <v>0.76</v>
      </c>
      <c r="K77" s="427">
        <v>0.76032065206783961</v>
      </c>
      <c r="L77" s="434">
        <v>0.43955629800000001</v>
      </c>
      <c r="M77" s="14">
        <f>Lisäosat[[#This Row],[HYTE-kerroin (sis. Kulttuurihyte)]]*Lisäosat[[#This Row],[Asukasmäärä 31.12.2023]]</f>
        <v>522.19288202400003</v>
      </c>
      <c r="N77" s="427">
        <f>Lisäosat[[#This Row],[HYTE-kerroin (sis. Kulttuurihyte)]]/$N$7</f>
        <v>0.65087543337636444</v>
      </c>
      <c r="O77" s="439">
        <v>0</v>
      </c>
      <c r="P77" s="197">
        <v>46485.063108000002</v>
      </c>
      <c r="Q77" s="159">
        <v>0</v>
      </c>
      <c r="R77" s="159">
        <v>12203.055227210578</v>
      </c>
      <c r="S77" s="159">
        <v>15395.208695685818</v>
      </c>
      <c r="T77" s="159">
        <v>0</v>
      </c>
      <c r="U77" s="309">
        <f t="shared" si="2"/>
        <v>74083.327030896398</v>
      </c>
      <c r="V77" s="44"/>
      <c r="W77" s="44"/>
      <c r="X77" s="110"/>
      <c r="Y77" s="110"/>
      <c r="Z77" s="111"/>
    </row>
    <row r="78" spans="1:26" s="45" customFormat="1">
      <c r="A78" s="127">
        <v>224</v>
      </c>
      <c r="B78" s="124" t="s">
        <v>82</v>
      </c>
      <c r="C78" s="408">
        <v>8581</v>
      </c>
      <c r="D78" s="412">
        <v>0</v>
      </c>
      <c r="E78" s="420">
        <v>0</v>
      </c>
      <c r="F78" s="155">
        <v>0</v>
      </c>
      <c r="G78" s="419">
        <v>0</v>
      </c>
      <c r="H78" s="269">
        <v>2770</v>
      </c>
      <c r="I78" s="15">
        <v>3566</v>
      </c>
      <c r="J78" s="331">
        <v>0.77678070667414467</v>
      </c>
      <c r="K78" s="427">
        <v>0.77710843870026702</v>
      </c>
      <c r="L78" s="434">
        <v>0.53753617200000003</v>
      </c>
      <c r="M78" s="14">
        <f>Lisäosat[[#This Row],[HYTE-kerroin (sis. Kulttuurihyte)]]*Lisäosat[[#This Row],[Asukasmäärä 31.12.2023]]</f>
        <v>4612.5978919320005</v>
      </c>
      <c r="N78" s="427">
        <f>Lisäosat[[#This Row],[HYTE-kerroin (sis. Kulttuurihyte)]]/$N$7</f>
        <v>0.79595967683295943</v>
      </c>
      <c r="O78" s="439">
        <v>0</v>
      </c>
      <c r="P78" s="197">
        <v>0</v>
      </c>
      <c r="Q78" s="159">
        <v>0</v>
      </c>
      <c r="R78" s="159">
        <v>90089.645093699248</v>
      </c>
      <c r="S78" s="159">
        <v>135987.88803925118</v>
      </c>
      <c r="T78" s="159">
        <v>0</v>
      </c>
      <c r="U78" s="309">
        <f t="shared" si="2"/>
        <v>226077.53313295043</v>
      </c>
      <c r="V78" s="44"/>
      <c r="W78" s="44"/>
      <c r="X78" s="110"/>
      <c r="Y78" s="110"/>
      <c r="Z78" s="111"/>
    </row>
    <row r="79" spans="1:26" s="45" customFormat="1">
      <c r="A79" s="127">
        <v>226</v>
      </c>
      <c r="B79" s="124" t="s">
        <v>83</v>
      </c>
      <c r="C79" s="408">
        <v>3625</v>
      </c>
      <c r="D79" s="412">
        <v>1.3321833333333335</v>
      </c>
      <c r="E79" s="420">
        <v>0</v>
      </c>
      <c r="F79" s="155">
        <v>0</v>
      </c>
      <c r="G79" s="419">
        <v>0</v>
      </c>
      <c r="H79" s="269">
        <v>1258</v>
      </c>
      <c r="I79" s="15">
        <v>1268</v>
      </c>
      <c r="J79" s="331">
        <v>0.99211356466876977</v>
      </c>
      <c r="K79" s="427">
        <v>0.99253214791356281</v>
      </c>
      <c r="L79" s="434">
        <v>0.63550750600000006</v>
      </c>
      <c r="M79" s="14">
        <f>Lisäosat[[#This Row],[HYTE-kerroin (sis. Kulttuurihyte)]]*Lisäosat[[#This Row],[Asukasmäärä 31.12.2023]]</f>
        <v>2303.7147092500004</v>
      </c>
      <c r="N79" s="427">
        <f>Lisäosat[[#This Row],[HYTE-kerroin (sis. Kulttuurihyte)]]/$N$7</f>
        <v>0.94103127463704905</v>
      </c>
      <c r="O79" s="439">
        <v>0</v>
      </c>
      <c r="P79" s="197">
        <v>467438.98584375012</v>
      </c>
      <c r="Q79" s="159">
        <v>0</v>
      </c>
      <c r="R79" s="159">
        <v>48608.021278881846</v>
      </c>
      <c r="S79" s="159">
        <v>67917.755957835718</v>
      </c>
      <c r="T79" s="159">
        <v>0</v>
      </c>
      <c r="U79" s="309">
        <f t="shared" si="2"/>
        <v>583964.7630804677</v>
      </c>
      <c r="V79" s="44"/>
      <c r="W79" s="44"/>
      <c r="X79" s="110"/>
      <c r="Y79" s="110"/>
      <c r="Z79" s="111"/>
    </row>
    <row r="80" spans="1:26" s="45" customFormat="1">
      <c r="A80" s="127">
        <v>230</v>
      </c>
      <c r="B80" s="124" t="s">
        <v>84</v>
      </c>
      <c r="C80" s="408">
        <v>2216</v>
      </c>
      <c r="D80" s="412">
        <v>1.0844166666666666</v>
      </c>
      <c r="E80" s="420">
        <v>0</v>
      </c>
      <c r="F80" s="155">
        <v>0</v>
      </c>
      <c r="G80" s="419">
        <v>0</v>
      </c>
      <c r="H80" s="269">
        <v>701</v>
      </c>
      <c r="I80" s="15">
        <v>858</v>
      </c>
      <c r="J80" s="331">
        <v>0.81701631701631705</v>
      </c>
      <c r="K80" s="427">
        <v>0.81736102487356699</v>
      </c>
      <c r="L80" s="434">
        <v>0.66884469400000002</v>
      </c>
      <c r="M80" s="14">
        <f>Lisäosat[[#This Row],[HYTE-kerroin (sis. Kulttuurihyte)]]*Lisäosat[[#This Row],[Asukasmäärä 31.12.2023]]</f>
        <v>1482.1598419040001</v>
      </c>
      <c r="N80" s="427">
        <f>Lisäosat[[#This Row],[HYTE-kerroin (sis. Kulttuurihyte)]]/$N$7</f>
        <v>0.99039550121229725</v>
      </c>
      <c r="O80" s="439">
        <v>0</v>
      </c>
      <c r="P80" s="197">
        <v>232604.90252999996</v>
      </c>
      <c r="Q80" s="159">
        <v>0</v>
      </c>
      <c r="R80" s="159">
        <v>24470.28514042883</v>
      </c>
      <c r="S80" s="159">
        <v>43696.804134967235</v>
      </c>
      <c r="T80" s="159">
        <v>0</v>
      </c>
      <c r="U80" s="309">
        <f t="shared" si="2"/>
        <v>300771.99180539604</v>
      </c>
      <c r="V80" s="44"/>
      <c r="W80" s="44"/>
      <c r="X80" s="110"/>
      <c r="Y80" s="110"/>
      <c r="Z80" s="111"/>
    </row>
    <row r="81" spans="1:26" s="45" customFormat="1">
      <c r="A81" s="127">
        <v>231</v>
      </c>
      <c r="B81" s="124" t="s">
        <v>85</v>
      </c>
      <c r="C81" s="408">
        <v>1208</v>
      </c>
      <c r="D81" s="412">
        <v>0.82343333333333335</v>
      </c>
      <c r="E81" s="420">
        <v>0</v>
      </c>
      <c r="F81" s="155">
        <v>0</v>
      </c>
      <c r="G81" s="419">
        <v>0</v>
      </c>
      <c r="H81" s="269">
        <v>435</v>
      </c>
      <c r="I81" s="15">
        <v>439</v>
      </c>
      <c r="J81" s="331">
        <v>0.99088838268792712</v>
      </c>
      <c r="K81" s="427">
        <v>0.99130644901543652</v>
      </c>
      <c r="L81" s="434">
        <v>0.43811736899999998</v>
      </c>
      <c r="M81" s="14">
        <f>Lisäosat[[#This Row],[HYTE-kerroin (sis. Kulttuurihyte)]]*Lisäosat[[#This Row],[Asukasmäärä 31.12.2023]]</f>
        <v>529.24578175199997</v>
      </c>
      <c r="N81" s="427">
        <f>Lisäosat[[#This Row],[HYTE-kerroin (sis. Kulttuurihyte)]]/$N$7</f>
        <v>0.64874473125530685</v>
      </c>
      <c r="O81" s="439">
        <v>0</v>
      </c>
      <c r="P81" s="197">
        <v>64188.472824000004</v>
      </c>
      <c r="Q81" s="159">
        <v>0</v>
      </c>
      <c r="R81" s="159">
        <v>16178.200552447845</v>
      </c>
      <c r="S81" s="159">
        <v>15603.141179946137</v>
      </c>
      <c r="T81" s="159">
        <v>0</v>
      </c>
      <c r="U81" s="309">
        <f t="shared" si="2"/>
        <v>95969.814556393976</v>
      </c>
      <c r="V81" s="44"/>
      <c r="W81" s="44"/>
      <c r="X81" s="110"/>
      <c r="Y81" s="110"/>
      <c r="Z81" s="111"/>
    </row>
    <row r="82" spans="1:26" s="45" customFormat="1">
      <c r="A82" s="127">
        <v>232</v>
      </c>
      <c r="B82" s="124" t="s">
        <v>86</v>
      </c>
      <c r="C82" s="408">
        <v>12618</v>
      </c>
      <c r="D82" s="412">
        <v>9.5499999999999995E-3</v>
      </c>
      <c r="E82" s="420">
        <v>0</v>
      </c>
      <c r="F82" s="155">
        <v>0</v>
      </c>
      <c r="G82" s="419">
        <v>0</v>
      </c>
      <c r="H82" s="269">
        <v>5178</v>
      </c>
      <c r="I82" s="15">
        <v>5019</v>
      </c>
      <c r="J82" s="331">
        <v>1.031679617453676</v>
      </c>
      <c r="K82" s="427">
        <v>1.0321148940361555</v>
      </c>
      <c r="L82" s="434">
        <v>0.72806939199999998</v>
      </c>
      <c r="M82" s="14">
        <f>Lisäosat[[#This Row],[HYTE-kerroin (sis. Kulttuurihyte)]]*Lisäosat[[#This Row],[Asukasmäärä 31.12.2023]]</f>
        <v>9186.7795882560004</v>
      </c>
      <c r="N82" s="427">
        <f>Lisäosat[[#This Row],[HYTE-kerroin (sis. Kulttuurihyte)]]/$N$7</f>
        <v>1.0780928022240877</v>
      </c>
      <c r="O82" s="439">
        <v>0</v>
      </c>
      <c r="P82" s="197">
        <v>7775.987607</v>
      </c>
      <c r="Q82" s="159">
        <v>0</v>
      </c>
      <c r="R82" s="159">
        <v>175943.77965213032</v>
      </c>
      <c r="S82" s="159">
        <v>270843.19582120905</v>
      </c>
      <c r="T82" s="159">
        <v>0</v>
      </c>
      <c r="U82" s="309">
        <f t="shared" si="2"/>
        <v>454562.96308033937</v>
      </c>
      <c r="V82" s="44"/>
      <c r="W82" s="44"/>
      <c r="X82" s="110"/>
      <c r="Y82" s="110"/>
      <c r="Z82" s="111"/>
    </row>
    <row r="83" spans="1:26" s="45" customFormat="1">
      <c r="A83" s="127">
        <v>233</v>
      </c>
      <c r="B83" s="124" t="s">
        <v>87</v>
      </c>
      <c r="C83" s="408">
        <v>15165</v>
      </c>
      <c r="D83" s="412">
        <v>0</v>
      </c>
      <c r="E83" s="420">
        <v>0</v>
      </c>
      <c r="F83" s="155">
        <v>0</v>
      </c>
      <c r="G83" s="419">
        <v>0</v>
      </c>
      <c r="H83" s="269">
        <v>6106</v>
      </c>
      <c r="I83" s="15">
        <v>6040</v>
      </c>
      <c r="J83" s="331">
        <v>1.0109271523178809</v>
      </c>
      <c r="K83" s="427">
        <v>1.0113536732150203</v>
      </c>
      <c r="L83" s="434">
        <v>0.51321210799999994</v>
      </c>
      <c r="M83" s="14">
        <f>Lisäosat[[#This Row],[HYTE-kerroin (sis. Kulttuurihyte)]]*Lisäosat[[#This Row],[Asukasmäärä 31.12.2023]]</f>
        <v>7782.8616178199991</v>
      </c>
      <c r="N83" s="427">
        <f>Lisäosat[[#This Row],[HYTE-kerroin (sis. Kulttuurihyte)]]/$N$7</f>
        <v>0.7599416837578733</v>
      </c>
      <c r="O83" s="439">
        <v>0</v>
      </c>
      <c r="P83" s="197">
        <v>0</v>
      </c>
      <c r="Q83" s="159">
        <v>0</v>
      </c>
      <c r="R83" s="159">
        <v>207205.28091767113</v>
      </c>
      <c r="S83" s="159">
        <v>229453.10627668604</v>
      </c>
      <c r="T83" s="159">
        <v>0</v>
      </c>
      <c r="U83" s="309">
        <f t="shared" si="2"/>
        <v>436658.38719435717</v>
      </c>
      <c r="V83" s="44"/>
      <c r="W83" s="44"/>
      <c r="X83" s="110"/>
      <c r="Y83" s="110"/>
      <c r="Z83" s="111"/>
    </row>
    <row r="84" spans="1:26" s="45" customFormat="1">
      <c r="A84" s="127">
        <v>235</v>
      </c>
      <c r="B84" s="124" t="s">
        <v>88</v>
      </c>
      <c r="C84" s="408">
        <v>10270</v>
      </c>
      <c r="D84" s="412">
        <v>0</v>
      </c>
      <c r="E84" s="420">
        <v>0</v>
      </c>
      <c r="F84" s="155">
        <v>3</v>
      </c>
      <c r="G84" s="419">
        <v>2.9211295034079843E-4</v>
      </c>
      <c r="H84" s="269">
        <v>2443</v>
      </c>
      <c r="I84" s="15">
        <v>4460</v>
      </c>
      <c r="J84" s="331">
        <v>0.54775784753363232</v>
      </c>
      <c r="K84" s="427">
        <v>0.54798895238427314</v>
      </c>
      <c r="L84" s="434">
        <v>0.69633479700000001</v>
      </c>
      <c r="M84" s="14">
        <f>Lisäosat[[#This Row],[HYTE-kerroin (sis. Kulttuurihyte)]]*Lisäosat[[#This Row],[Asukasmäärä 31.12.2023]]</f>
        <v>7151.3583651899999</v>
      </c>
      <c r="N84" s="427">
        <f>Lisäosat[[#This Row],[HYTE-kerroin (sis. Kulttuurihyte)]]/$N$7</f>
        <v>1.0311016241483082</v>
      </c>
      <c r="O84" s="439">
        <v>0.30946779800150592</v>
      </c>
      <c r="P84" s="197">
        <v>0</v>
      </c>
      <c r="Q84" s="159">
        <v>0</v>
      </c>
      <c r="R84" s="159">
        <v>76032.20676872741</v>
      </c>
      <c r="S84" s="159">
        <v>210835.2263688622</v>
      </c>
      <c r="T84" s="159">
        <v>33562.154054620922</v>
      </c>
      <c r="U84" s="309">
        <f t="shared" si="2"/>
        <v>320429.58719221054</v>
      </c>
      <c r="V84" s="44"/>
      <c r="W84" s="44"/>
      <c r="X84" s="110"/>
      <c r="Y84" s="110"/>
      <c r="Z84" s="111"/>
    </row>
    <row r="85" spans="1:26" s="45" customFormat="1">
      <c r="A85" s="127">
        <v>236</v>
      </c>
      <c r="B85" s="124" t="s">
        <v>89</v>
      </c>
      <c r="C85" s="408">
        <v>4137</v>
      </c>
      <c r="D85" s="412">
        <v>0.37173333333333336</v>
      </c>
      <c r="E85" s="420">
        <v>0</v>
      </c>
      <c r="F85" s="155">
        <v>1</v>
      </c>
      <c r="G85" s="419">
        <v>2.4172105390379503E-4</v>
      </c>
      <c r="H85" s="269">
        <v>1553</v>
      </c>
      <c r="I85" s="15">
        <v>1788</v>
      </c>
      <c r="J85" s="331">
        <v>0.86856823266219241</v>
      </c>
      <c r="K85" s="427">
        <v>0.86893469081990671</v>
      </c>
      <c r="L85" s="434">
        <v>0.39181088200000003</v>
      </c>
      <c r="M85" s="14">
        <f>Lisäosat[[#This Row],[HYTE-kerroin (sis. Kulttuurihyte)]]*Lisäosat[[#This Row],[Asukasmäärä 31.12.2023]]</f>
        <v>1620.9216188340001</v>
      </c>
      <c r="N85" s="427">
        <f>Lisäosat[[#This Row],[HYTE-kerroin (sis. Kulttuurihyte)]]/$N$7</f>
        <v>0.58017614304169429</v>
      </c>
      <c r="O85" s="439">
        <v>0</v>
      </c>
      <c r="P85" s="197">
        <v>99238.157424000005</v>
      </c>
      <c r="Q85" s="159">
        <v>0</v>
      </c>
      <c r="R85" s="159">
        <v>48565.515843105597</v>
      </c>
      <c r="S85" s="159">
        <v>47787.757091931067</v>
      </c>
      <c r="T85" s="159">
        <v>0</v>
      </c>
      <c r="U85" s="309">
        <f t="shared" si="2"/>
        <v>195591.43035903666</v>
      </c>
      <c r="V85" s="44"/>
      <c r="W85" s="44"/>
      <c r="X85" s="110"/>
      <c r="Y85" s="110"/>
      <c r="Z85" s="111"/>
    </row>
    <row r="86" spans="1:26" s="45" customFormat="1">
      <c r="A86" s="127">
        <v>239</v>
      </c>
      <c r="B86" s="124" t="s">
        <v>90</v>
      </c>
      <c r="C86" s="408">
        <v>2035</v>
      </c>
      <c r="D86" s="412">
        <v>1.5529000000000002</v>
      </c>
      <c r="E86" s="420">
        <v>0</v>
      </c>
      <c r="F86" s="155">
        <v>0</v>
      </c>
      <c r="G86" s="419">
        <v>0</v>
      </c>
      <c r="H86" s="269">
        <v>938</v>
      </c>
      <c r="I86" s="15">
        <v>708</v>
      </c>
      <c r="J86" s="331">
        <v>1.3248587570621468</v>
      </c>
      <c r="K86" s="427">
        <v>1.3254177290358933</v>
      </c>
      <c r="L86" s="434">
        <v>0.644291999</v>
      </c>
      <c r="M86" s="14">
        <f>Lisäosat[[#This Row],[HYTE-kerroin (sis. Kulttuurihyte)]]*Lisäosat[[#This Row],[Asukasmäärä 31.12.2023]]</f>
        <v>1311.1342179650001</v>
      </c>
      <c r="N86" s="427">
        <f>Lisäosat[[#This Row],[HYTE-kerroin (sis. Kulttuurihyte)]]/$N$7</f>
        <v>0.95403896151215917</v>
      </c>
      <c r="O86" s="439">
        <v>0</v>
      </c>
      <c r="P86" s="197">
        <v>611773.72888500011</v>
      </c>
      <c r="Q86" s="159">
        <v>0</v>
      </c>
      <c r="R86" s="159">
        <v>36439.51081172446</v>
      </c>
      <c r="S86" s="159">
        <v>38654.653497743922</v>
      </c>
      <c r="T86" s="159">
        <v>0</v>
      </c>
      <c r="U86" s="309">
        <f t="shared" si="2"/>
        <v>686867.89319446846</v>
      </c>
      <c r="V86" s="44"/>
      <c r="W86" s="44"/>
      <c r="X86" s="110"/>
      <c r="Y86" s="110"/>
      <c r="Z86" s="111"/>
    </row>
    <row r="87" spans="1:26" s="45" customFormat="1">
      <c r="A87" s="127">
        <v>240</v>
      </c>
      <c r="B87" s="124" t="s">
        <v>91</v>
      </c>
      <c r="C87" s="408">
        <v>19371</v>
      </c>
      <c r="D87" s="412">
        <v>0.11808333333333333</v>
      </c>
      <c r="E87" s="420">
        <v>0</v>
      </c>
      <c r="F87" s="155">
        <v>5</v>
      </c>
      <c r="G87" s="419">
        <v>2.5811780496618657E-4</v>
      </c>
      <c r="H87" s="269">
        <v>8065</v>
      </c>
      <c r="I87" s="15">
        <v>6773</v>
      </c>
      <c r="J87" s="331">
        <v>1.1907574191643289</v>
      </c>
      <c r="K87" s="427">
        <v>1.1912598123600531</v>
      </c>
      <c r="L87" s="434">
        <v>0.506430881</v>
      </c>
      <c r="M87" s="14">
        <f>Lisäosat[[#This Row],[HYTE-kerroin (sis. Kulttuurihyte)]]*Lisäosat[[#This Row],[Asukasmäärä 31.12.2023]]</f>
        <v>9810.0725958509993</v>
      </c>
      <c r="N87" s="427">
        <f>Lisäosat[[#This Row],[HYTE-kerroin (sis. Kulttuurihyte)]]/$N$7</f>
        <v>0.7499003441557992</v>
      </c>
      <c r="O87" s="439">
        <v>0</v>
      </c>
      <c r="P87" s="197">
        <v>147605.42189249999</v>
      </c>
      <c r="Q87" s="159">
        <v>0</v>
      </c>
      <c r="R87" s="159">
        <v>311755.32557881117</v>
      </c>
      <c r="S87" s="159">
        <v>289219.02257184195</v>
      </c>
      <c r="T87" s="159">
        <v>0</v>
      </c>
      <c r="U87" s="309">
        <f t="shared" si="2"/>
        <v>748579.77004315308</v>
      </c>
      <c r="V87" s="44"/>
      <c r="W87" s="44"/>
      <c r="X87" s="110"/>
      <c r="Y87" s="110"/>
      <c r="Z87" s="111"/>
    </row>
    <row r="88" spans="1:26" s="45" customFormat="1">
      <c r="A88" s="127">
        <v>241</v>
      </c>
      <c r="B88" s="124" t="s">
        <v>92</v>
      </c>
      <c r="C88" s="408">
        <v>7691</v>
      </c>
      <c r="D88" s="412">
        <v>9.1749999999999998E-2</v>
      </c>
      <c r="E88" s="420">
        <v>0</v>
      </c>
      <c r="F88" s="155">
        <v>1</v>
      </c>
      <c r="G88" s="419">
        <v>1.300221037576388E-4</v>
      </c>
      <c r="H88" s="269">
        <v>2687</v>
      </c>
      <c r="I88" s="15">
        <v>3191</v>
      </c>
      <c r="J88" s="331">
        <v>0.84205578188655594</v>
      </c>
      <c r="K88" s="427">
        <v>0.84241105415984308</v>
      </c>
      <c r="L88" s="434">
        <v>0.663147292</v>
      </c>
      <c r="M88" s="14">
        <f>Lisäosat[[#This Row],[HYTE-kerroin (sis. Kulttuurihyte)]]*Lisäosat[[#This Row],[Asukasmäärä 31.12.2023]]</f>
        <v>5100.2658227720003</v>
      </c>
      <c r="N88" s="427">
        <f>Lisäosat[[#This Row],[HYTE-kerroin (sis. Kulttuurihyte)]]/$N$7</f>
        <v>0.98195904150794922</v>
      </c>
      <c r="O88" s="439">
        <v>0</v>
      </c>
      <c r="P88" s="197">
        <v>45535.546102499997</v>
      </c>
      <c r="Q88" s="159">
        <v>0</v>
      </c>
      <c r="R88" s="159">
        <v>87531.065971010699</v>
      </c>
      <c r="S88" s="159">
        <v>150365.23753581135</v>
      </c>
      <c r="T88" s="159">
        <v>0</v>
      </c>
      <c r="U88" s="309">
        <f t="shared" si="2"/>
        <v>283431.84960932203</v>
      </c>
      <c r="V88" s="44"/>
      <c r="W88" s="44"/>
      <c r="X88" s="110"/>
      <c r="Y88" s="110"/>
      <c r="Z88" s="111"/>
    </row>
    <row r="89" spans="1:26" s="45" customFormat="1">
      <c r="A89" s="127">
        <v>244</v>
      </c>
      <c r="B89" s="124" t="s">
        <v>93</v>
      </c>
      <c r="C89" s="408">
        <v>19514</v>
      </c>
      <c r="D89" s="412">
        <v>0</v>
      </c>
      <c r="E89" s="420">
        <v>0</v>
      </c>
      <c r="F89" s="155">
        <v>13</v>
      </c>
      <c r="G89" s="419">
        <v>6.6618837757507435E-4</v>
      </c>
      <c r="H89" s="269">
        <v>7128</v>
      </c>
      <c r="I89" s="15">
        <v>8538</v>
      </c>
      <c r="J89" s="331">
        <v>0.83485593815881942</v>
      </c>
      <c r="K89" s="427">
        <v>0.8352081727416073</v>
      </c>
      <c r="L89" s="434">
        <v>0.72773618500000004</v>
      </c>
      <c r="M89" s="14">
        <f>Lisäosat[[#This Row],[HYTE-kerroin (sis. Kulttuurihyte)]]*Lisäosat[[#This Row],[Asukasmäärä 31.12.2023]]</f>
        <v>14201.04391409</v>
      </c>
      <c r="N89" s="427">
        <f>Lisäosat[[#This Row],[HYTE-kerroin (sis. Kulttuurihyte)]]/$N$7</f>
        <v>1.0775994041053125</v>
      </c>
      <c r="O89" s="439">
        <v>1.2579475489970109</v>
      </c>
      <c r="P89" s="197">
        <v>0</v>
      </c>
      <c r="Q89" s="159">
        <v>0</v>
      </c>
      <c r="R89" s="159">
        <v>220189.38834170508</v>
      </c>
      <c r="S89" s="159">
        <v>418672.95070476737</v>
      </c>
      <c r="T89" s="159">
        <v>259222.53425510821</v>
      </c>
      <c r="U89" s="309">
        <f t="shared" si="2"/>
        <v>898084.87330158066</v>
      </c>
      <c r="V89" s="44"/>
      <c r="W89" s="44"/>
      <c r="X89" s="110"/>
      <c r="Y89" s="110"/>
      <c r="Z89" s="111"/>
    </row>
    <row r="90" spans="1:26" s="45" customFormat="1">
      <c r="A90" s="127">
        <v>245</v>
      </c>
      <c r="B90" s="124" t="s">
        <v>94</v>
      </c>
      <c r="C90" s="408">
        <v>38211</v>
      </c>
      <c r="D90" s="412">
        <v>0</v>
      </c>
      <c r="E90" s="420">
        <v>0</v>
      </c>
      <c r="F90" s="155">
        <v>0</v>
      </c>
      <c r="G90" s="419">
        <v>0</v>
      </c>
      <c r="H90" s="269">
        <v>12419</v>
      </c>
      <c r="I90" s="15">
        <v>17431</v>
      </c>
      <c r="J90" s="331">
        <v>0.71246629568011011</v>
      </c>
      <c r="K90" s="427">
        <v>0.71276689277349936</v>
      </c>
      <c r="L90" s="434">
        <v>0.71483266300000003</v>
      </c>
      <c r="M90" s="14">
        <f>Lisäosat[[#This Row],[HYTE-kerroin (sis. Kulttuurihyte)]]*Lisäosat[[#This Row],[Asukasmäärä 31.12.2023]]</f>
        <v>27314.470885893003</v>
      </c>
      <c r="N90" s="427">
        <f>Lisäosat[[#This Row],[HYTE-kerroin (sis. Kulttuurihyte)]]/$N$7</f>
        <v>1.0584924421255948</v>
      </c>
      <c r="O90" s="439">
        <v>0.98493220520396996</v>
      </c>
      <c r="P90" s="197">
        <v>0</v>
      </c>
      <c r="Q90" s="159">
        <v>0</v>
      </c>
      <c r="R90" s="159">
        <v>367952.08784426813</v>
      </c>
      <c r="S90" s="159">
        <v>805280.94919767661</v>
      </c>
      <c r="T90" s="159">
        <v>397428.1818465963</v>
      </c>
      <c r="U90" s="309">
        <f t="shared" si="2"/>
        <v>1570661.218888541</v>
      </c>
      <c r="V90" s="44"/>
      <c r="W90" s="44"/>
      <c r="X90" s="110"/>
      <c r="Y90" s="110"/>
      <c r="Z90" s="111"/>
    </row>
    <row r="91" spans="1:26" s="45" customFormat="1">
      <c r="A91" s="127">
        <v>249</v>
      </c>
      <c r="B91" s="124" t="s">
        <v>95</v>
      </c>
      <c r="C91" s="408">
        <v>9184</v>
      </c>
      <c r="D91" s="412">
        <v>0.77045000000000008</v>
      </c>
      <c r="E91" s="420">
        <v>0</v>
      </c>
      <c r="F91" s="155">
        <v>0</v>
      </c>
      <c r="G91" s="419">
        <v>0</v>
      </c>
      <c r="H91" s="269">
        <v>3268</v>
      </c>
      <c r="I91" s="15">
        <v>3322</v>
      </c>
      <c r="J91" s="331">
        <v>0.98374473208910296</v>
      </c>
      <c r="K91" s="427">
        <v>0.98415978443459073</v>
      </c>
      <c r="L91" s="434">
        <v>0.54034090899999998</v>
      </c>
      <c r="M91" s="14">
        <f>Lisäosat[[#This Row],[HYTE-kerroin (sis. Kulttuurihyte)]]*Lisäosat[[#This Row],[Asukasmäärä 31.12.2023]]</f>
        <v>4962.4909082559998</v>
      </c>
      <c r="N91" s="427">
        <f>Lisäosat[[#This Row],[HYTE-kerroin (sis. Kulttuurihyte)]]/$N$7</f>
        <v>0.80011280674757546</v>
      </c>
      <c r="O91" s="439">
        <v>0</v>
      </c>
      <c r="P91" s="197">
        <v>456602.19998400006</v>
      </c>
      <c r="Q91" s="159">
        <v>0</v>
      </c>
      <c r="R91" s="159">
        <v>122110.45194794076</v>
      </c>
      <c r="S91" s="159">
        <v>146303.37910184939</v>
      </c>
      <c r="T91" s="159">
        <v>0</v>
      </c>
      <c r="U91" s="309">
        <f t="shared" si="2"/>
        <v>725016.0310337902</v>
      </c>
      <c r="V91" s="44"/>
      <c r="W91" s="44"/>
      <c r="X91" s="110"/>
      <c r="Y91" s="110"/>
      <c r="Z91" s="111"/>
    </row>
    <row r="92" spans="1:26" s="45" customFormat="1">
      <c r="A92" s="127">
        <v>250</v>
      </c>
      <c r="B92" s="124" t="s">
        <v>96</v>
      </c>
      <c r="C92" s="408">
        <v>1749</v>
      </c>
      <c r="D92" s="412">
        <v>1.2127166666666667</v>
      </c>
      <c r="E92" s="420">
        <v>0</v>
      </c>
      <c r="F92" s="155">
        <v>0</v>
      </c>
      <c r="G92" s="419">
        <v>0</v>
      </c>
      <c r="H92" s="269">
        <v>555</v>
      </c>
      <c r="I92" s="15">
        <v>663</v>
      </c>
      <c r="J92" s="331">
        <v>0.83710407239819007</v>
      </c>
      <c r="K92" s="427">
        <v>0.8374572554926788</v>
      </c>
      <c r="L92" s="434">
        <v>0.53513834599999999</v>
      </c>
      <c r="M92" s="14">
        <f>Lisäosat[[#This Row],[HYTE-kerroin (sis. Kulttuurihyte)]]*Lisäosat[[#This Row],[Asukasmäärä 31.12.2023]]</f>
        <v>935.95696715399993</v>
      </c>
      <c r="N92" s="427">
        <f>Lisäosat[[#This Row],[HYTE-kerroin (sis. Kulttuurihyte)]]/$N$7</f>
        <v>0.79240908264511056</v>
      </c>
      <c r="O92" s="439">
        <v>0</v>
      </c>
      <c r="P92" s="197">
        <v>205306.20715274999</v>
      </c>
      <c r="Q92" s="159">
        <v>0</v>
      </c>
      <c r="R92" s="159">
        <v>19788.269115463951</v>
      </c>
      <c r="S92" s="159">
        <v>27593.736597226802</v>
      </c>
      <c r="T92" s="159">
        <v>0</v>
      </c>
      <c r="U92" s="309">
        <f t="shared" si="2"/>
        <v>252688.21286544076</v>
      </c>
      <c r="V92" s="44"/>
      <c r="W92" s="44"/>
      <c r="X92" s="110"/>
      <c r="Y92" s="110"/>
      <c r="Z92" s="111"/>
    </row>
    <row r="93" spans="1:26" s="45" customFormat="1">
      <c r="A93" s="127">
        <v>256</v>
      </c>
      <c r="B93" s="124" t="s">
        <v>97</v>
      </c>
      <c r="C93" s="408">
        <v>1523</v>
      </c>
      <c r="D93" s="412">
        <v>1.6751833333333332</v>
      </c>
      <c r="E93" s="420">
        <v>0</v>
      </c>
      <c r="F93" s="155">
        <v>1</v>
      </c>
      <c r="G93" s="419">
        <v>6.5659881812212733E-4</v>
      </c>
      <c r="H93" s="269">
        <v>421</v>
      </c>
      <c r="I93" s="15">
        <v>502</v>
      </c>
      <c r="J93" s="331">
        <v>0.83864541832669326</v>
      </c>
      <c r="K93" s="427">
        <v>0.83899925173139145</v>
      </c>
      <c r="L93" s="434">
        <v>0.52619424800000003</v>
      </c>
      <c r="M93" s="14">
        <f>Lisäosat[[#This Row],[HYTE-kerroin (sis. Kulttuurihyte)]]*Lisäosat[[#This Row],[Asukasmäärä 31.12.2023]]</f>
        <v>801.39383970400002</v>
      </c>
      <c r="N93" s="427">
        <f>Lisäosat[[#This Row],[HYTE-kerroin (sis. Kulttuurihyte)]]/$N$7</f>
        <v>0.77916505977841821</v>
      </c>
      <c r="O93" s="439">
        <v>0</v>
      </c>
      <c r="P93" s="197">
        <v>493906.98330449994</v>
      </c>
      <c r="Q93" s="159">
        <v>0</v>
      </c>
      <c r="R93" s="159">
        <v>17263.022073827142</v>
      </c>
      <c r="S93" s="159">
        <v>23626.567566106791</v>
      </c>
      <c r="T93" s="159">
        <v>0</v>
      </c>
      <c r="U93" s="309">
        <f t="shared" si="2"/>
        <v>534796.57294443389</v>
      </c>
      <c r="V93" s="44"/>
      <c r="W93" s="44"/>
      <c r="X93" s="110"/>
      <c r="Y93" s="110"/>
      <c r="Z93" s="111"/>
    </row>
    <row r="94" spans="1:26" s="45" customFormat="1">
      <c r="A94" s="127">
        <v>257</v>
      </c>
      <c r="B94" s="124" t="s">
        <v>98</v>
      </c>
      <c r="C94" s="408">
        <v>41154</v>
      </c>
      <c r="D94" s="412">
        <v>0</v>
      </c>
      <c r="E94" s="420">
        <v>0</v>
      </c>
      <c r="F94" s="155">
        <v>10</v>
      </c>
      <c r="G94" s="419">
        <v>2.4298974583272586E-4</v>
      </c>
      <c r="H94" s="269">
        <v>10998</v>
      </c>
      <c r="I94" s="15">
        <v>19696</v>
      </c>
      <c r="J94" s="331">
        <v>0.55838748984565389</v>
      </c>
      <c r="K94" s="427">
        <v>0.55862307945522593</v>
      </c>
      <c r="L94" s="434">
        <v>0.61868571000000006</v>
      </c>
      <c r="M94" s="14">
        <f>Lisäosat[[#This Row],[HYTE-kerroin (sis. Kulttuurihyte)]]*Lisäosat[[#This Row],[Asukasmäärä 31.12.2023]]</f>
        <v>25461.391709340001</v>
      </c>
      <c r="N94" s="427">
        <f>Lisäosat[[#This Row],[HYTE-kerroin (sis. Kulttuurihyte)]]/$N$7</f>
        <v>0.91612230663571059</v>
      </c>
      <c r="O94" s="439">
        <v>0.88377304236706422</v>
      </c>
      <c r="P94" s="197">
        <v>0</v>
      </c>
      <c r="Q94" s="159">
        <v>0</v>
      </c>
      <c r="R94" s="159">
        <v>310589.14760277397</v>
      </c>
      <c r="S94" s="159">
        <v>750648.7593790649</v>
      </c>
      <c r="T94" s="159">
        <v>384075.60349566315</v>
      </c>
      <c r="U94" s="309">
        <f t="shared" si="2"/>
        <v>1445313.5104775019</v>
      </c>
      <c r="V94" s="44"/>
      <c r="W94" s="44"/>
      <c r="X94" s="110"/>
      <c r="Y94" s="110"/>
      <c r="Z94" s="111"/>
    </row>
    <row r="95" spans="1:26" s="45" customFormat="1">
      <c r="A95" s="127">
        <v>260</v>
      </c>
      <c r="B95" s="124" t="s">
        <v>99</v>
      </c>
      <c r="C95" s="408">
        <v>9689</v>
      </c>
      <c r="D95" s="412">
        <v>1.2096</v>
      </c>
      <c r="E95" s="420">
        <v>0</v>
      </c>
      <c r="F95" s="155">
        <v>1</v>
      </c>
      <c r="G95" s="419">
        <v>1.0320982557539478E-4</v>
      </c>
      <c r="H95" s="269">
        <v>3135</v>
      </c>
      <c r="I95" s="15">
        <v>3141</v>
      </c>
      <c r="J95" s="331">
        <v>0.99808978032473739</v>
      </c>
      <c r="K95" s="427">
        <v>0.99851088499835672</v>
      </c>
      <c r="L95" s="434">
        <v>0.72514546800000002</v>
      </c>
      <c r="M95" s="14">
        <f>Lisäosat[[#This Row],[HYTE-kerroin (sis. Kulttuurihyte)]]*Lisäosat[[#This Row],[Asukasmäärä 31.12.2023]]</f>
        <v>7025.9344394520003</v>
      </c>
      <c r="N95" s="427">
        <f>Lisäosat[[#This Row],[HYTE-kerroin (sis. Kulttuurihyte)]]/$N$7</f>
        <v>1.073763185496222</v>
      </c>
      <c r="O95" s="439">
        <v>0</v>
      </c>
      <c r="P95" s="197">
        <v>1134419.4348479998</v>
      </c>
      <c r="Q95" s="159">
        <v>0</v>
      </c>
      <c r="R95" s="159">
        <v>130703.46724376005</v>
      </c>
      <c r="S95" s="159">
        <v>207137.49785007333</v>
      </c>
      <c r="T95" s="159">
        <v>0</v>
      </c>
      <c r="U95" s="309">
        <f t="shared" si="2"/>
        <v>1472260.3999418332</v>
      </c>
      <c r="V95" s="44"/>
      <c r="W95" s="44"/>
      <c r="X95" s="110"/>
      <c r="Y95" s="110"/>
      <c r="Z95" s="111"/>
    </row>
    <row r="96" spans="1:26" s="45" customFormat="1">
      <c r="A96" s="127">
        <v>261</v>
      </c>
      <c r="B96" s="124" t="s">
        <v>100</v>
      </c>
      <c r="C96" s="408">
        <v>6822</v>
      </c>
      <c r="D96" s="412">
        <v>1.62395</v>
      </c>
      <c r="E96" s="420">
        <v>0</v>
      </c>
      <c r="F96" s="155">
        <v>25</v>
      </c>
      <c r="G96" s="419">
        <v>3.664614482556435E-3</v>
      </c>
      <c r="H96" s="269">
        <v>3776</v>
      </c>
      <c r="I96" s="15">
        <v>3330</v>
      </c>
      <c r="J96" s="331">
        <v>1.1339339339339338</v>
      </c>
      <c r="K96" s="427">
        <v>1.1344123526980252</v>
      </c>
      <c r="L96" s="434">
        <v>0.59211830300000001</v>
      </c>
      <c r="M96" s="14">
        <f>Lisäosat[[#This Row],[HYTE-kerroin (sis. Kulttuurihyte)]]*Lisäosat[[#This Row],[Asukasmäärä 31.12.2023]]</f>
        <v>4039.4310630660002</v>
      </c>
      <c r="N96" s="427">
        <f>Lisäosat[[#This Row],[HYTE-kerroin (sis. Kulttuurihyte)]]/$N$7</f>
        <v>0.8767824709343659</v>
      </c>
      <c r="O96" s="439">
        <v>1.9622791175790317</v>
      </c>
      <c r="P96" s="197">
        <v>2144703.6379710003</v>
      </c>
      <c r="Q96" s="159">
        <v>0</v>
      </c>
      <c r="R96" s="159">
        <v>104553.36405713108</v>
      </c>
      <c r="S96" s="159">
        <v>119089.8734327806</v>
      </c>
      <c r="T96" s="159">
        <v>141363.21555971107</v>
      </c>
      <c r="U96" s="309">
        <f t="shared" si="2"/>
        <v>2509710.0910206232</v>
      </c>
      <c r="V96" s="44"/>
      <c r="W96" s="44"/>
      <c r="X96" s="110"/>
      <c r="Y96" s="110"/>
      <c r="Z96" s="111"/>
    </row>
    <row r="97" spans="1:26" s="45" customFormat="1">
      <c r="A97" s="127">
        <v>263</v>
      </c>
      <c r="B97" s="124" t="s">
        <v>101</v>
      </c>
      <c r="C97" s="408">
        <v>7475</v>
      </c>
      <c r="D97" s="412">
        <v>0.83309999999999995</v>
      </c>
      <c r="E97" s="420">
        <v>0</v>
      </c>
      <c r="F97" s="155">
        <v>0</v>
      </c>
      <c r="G97" s="419">
        <v>0</v>
      </c>
      <c r="H97" s="269">
        <v>2280</v>
      </c>
      <c r="I97" s="15">
        <v>2778</v>
      </c>
      <c r="J97" s="331">
        <v>0.82073434125269984</v>
      </c>
      <c r="K97" s="427">
        <v>0.82108061778384411</v>
      </c>
      <c r="L97" s="434">
        <v>0.56732544799999995</v>
      </c>
      <c r="M97" s="14">
        <f>Lisäosat[[#This Row],[HYTE-kerroin (sis. Kulttuurihyte)]]*Lisäosat[[#This Row],[Asukasmäärä 31.12.2023]]</f>
        <v>4240.7577237999994</v>
      </c>
      <c r="N97" s="427">
        <f>Lisäosat[[#This Row],[HYTE-kerroin (sis. Kulttuurihyte)]]/$N$7</f>
        <v>0.8400703129782936</v>
      </c>
      <c r="O97" s="439">
        <v>0</v>
      </c>
      <c r="P97" s="197">
        <v>401855.57392499998</v>
      </c>
      <c r="Q97" s="159">
        <v>0</v>
      </c>
      <c r="R97" s="159">
        <v>82918.673618291505</v>
      </c>
      <c r="S97" s="159">
        <v>125025.35448719875</v>
      </c>
      <c r="T97" s="159">
        <v>0</v>
      </c>
      <c r="U97" s="309">
        <f t="shared" si="2"/>
        <v>609799.60203049029</v>
      </c>
      <c r="V97" s="44"/>
      <c r="W97" s="44"/>
      <c r="X97" s="110"/>
      <c r="Y97" s="110"/>
      <c r="Z97" s="111"/>
    </row>
    <row r="98" spans="1:26" s="45" customFormat="1">
      <c r="A98" s="127">
        <v>265</v>
      </c>
      <c r="B98" s="124" t="s">
        <v>102</v>
      </c>
      <c r="C98" s="408">
        <v>1035</v>
      </c>
      <c r="D98" s="412">
        <v>1.7096</v>
      </c>
      <c r="E98" s="420">
        <v>0</v>
      </c>
      <c r="F98" s="155">
        <v>0</v>
      </c>
      <c r="G98" s="419">
        <v>0</v>
      </c>
      <c r="H98" s="269">
        <v>227</v>
      </c>
      <c r="I98" s="15">
        <v>341</v>
      </c>
      <c r="J98" s="331">
        <v>0.66568914956011727</v>
      </c>
      <c r="K98" s="427">
        <v>0.66597001087899199</v>
      </c>
      <c r="L98" s="434">
        <v>0.57473148900000004</v>
      </c>
      <c r="M98" s="14">
        <f>Lisäosat[[#This Row],[HYTE-kerroin (sis. Kulttuurihyte)]]*Lisäosat[[#This Row],[Asukasmäärä 31.12.2023]]</f>
        <v>594.84709111500001</v>
      </c>
      <c r="N98" s="427">
        <f>Lisäosat[[#This Row],[HYTE-kerroin (sis. Kulttuurihyte)]]/$N$7</f>
        <v>0.85103684938651081</v>
      </c>
      <c r="O98" s="439">
        <v>0</v>
      </c>
      <c r="P98" s="197">
        <v>342545.11524000001</v>
      </c>
      <c r="Q98" s="159">
        <v>0</v>
      </c>
      <c r="R98" s="159">
        <v>9312.1587666193118</v>
      </c>
      <c r="S98" s="159">
        <v>17537.188699780421</v>
      </c>
      <c r="T98" s="159">
        <v>0</v>
      </c>
      <c r="U98" s="309">
        <f t="shared" si="2"/>
        <v>369394.46270639979</v>
      </c>
      <c r="V98" s="44"/>
      <c r="W98" s="44"/>
      <c r="X98" s="110"/>
      <c r="Y98" s="110"/>
      <c r="Z98" s="111"/>
    </row>
    <row r="99" spans="1:26" s="45" customFormat="1">
      <c r="A99" s="127">
        <v>271</v>
      </c>
      <c r="B99" s="124" t="s">
        <v>103</v>
      </c>
      <c r="C99" s="408">
        <v>6766</v>
      </c>
      <c r="D99" s="412">
        <v>0</v>
      </c>
      <c r="E99" s="420">
        <v>0</v>
      </c>
      <c r="F99" s="155">
        <v>0</v>
      </c>
      <c r="G99" s="419">
        <v>0</v>
      </c>
      <c r="H99" s="269">
        <v>2260</v>
      </c>
      <c r="I99" s="15">
        <v>2688</v>
      </c>
      <c r="J99" s="331">
        <v>0.84077380952380953</v>
      </c>
      <c r="K99" s="427">
        <v>0.84112854091934797</v>
      </c>
      <c r="L99" s="434">
        <v>0.71203961800000004</v>
      </c>
      <c r="M99" s="14">
        <f>Lisäosat[[#This Row],[HYTE-kerroin (sis. Kulttuurihyte)]]*Lisäosat[[#This Row],[Asukasmäärä 31.12.2023]]</f>
        <v>4817.6600553880007</v>
      </c>
      <c r="N99" s="427">
        <f>Lisäosat[[#This Row],[HYTE-kerroin (sis. Kulttuurihyte)]]/$N$7</f>
        <v>1.0543566252050176</v>
      </c>
      <c r="O99" s="439">
        <v>0</v>
      </c>
      <c r="P99" s="197">
        <v>0</v>
      </c>
      <c r="Q99" s="159">
        <v>0</v>
      </c>
      <c r="R99" s="159">
        <v>76886.432813192761</v>
      </c>
      <c r="S99" s="159">
        <v>142033.49859939064</v>
      </c>
      <c r="T99" s="159">
        <v>0</v>
      </c>
      <c r="U99" s="309">
        <f t="shared" si="2"/>
        <v>218919.93141258339</v>
      </c>
      <c r="V99" s="44"/>
      <c r="W99" s="44"/>
      <c r="X99" s="110"/>
      <c r="Y99" s="110"/>
      <c r="Z99" s="111"/>
    </row>
    <row r="100" spans="1:26" s="45" customFormat="1">
      <c r="A100" s="127">
        <v>272</v>
      </c>
      <c r="B100" s="124" t="s">
        <v>104</v>
      </c>
      <c r="C100" s="408">
        <v>48295</v>
      </c>
      <c r="D100" s="412">
        <v>0</v>
      </c>
      <c r="E100" s="420">
        <v>0</v>
      </c>
      <c r="F100" s="155">
        <v>0</v>
      </c>
      <c r="G100" s="419">
        <v>0</v>
      </c>
      <c r="H100" s="269">
        <v>21454</v>
      </c>
      <c r="I100" s="15">
        <v>20335</v>
      </c>
      <c r="J100" s="331">
        <v>1.0550282763707892</v>
      </c>
      <c r="K100" s="427">
        <v>1.0554734040003255</v>
      </c>
      <c r="L100" s="434">
        <v>0.69126535300000003</v>
      </c>
      <c r="M100" s="14">
        <f>Lisäosat[[#This Row],[HYTE-kerroin (sis. Kulttuurihyte)]]*Lisäosat[[#This Row],[Asukasmäärä 31.12.2023]]</f>
        <v>33384.660223135004</v>
      </c>
      <c r="N100" s="427">
        <f>Lisäosat[[#This Row],[HYTE-kerroin (sis. Kulttuurihyte)]]/$N$7</f>
        <v>1.0235950167455923</v>
      </c>
      <c r="O100" s="439">
        <v>0.36375137532054236</v>
      </c>
      <c r="P100" s="197">
        <v>0</v>
      </c>
      <c r="Q100" s="159">
        <v>0</v>
      </c>
      <c r="R100" s="159">
        <v>688659.92950410419</v>
      </c>
      <c r="S100" s="159">
        <v>984241.31975453207</v>
      </c>
      <c r="T100" s="159">
        <v>185511.45540687509</v>
      </c>
      <c r="U100" s="309">
        <f t="shared" si="2"/>
        <v>1858412.7046655114</v>
      </c>
      <c r="V100" s="44"/>
      <c r="W100" s="44"/>
      <c r="X100" s="110"/>
      <c r="Y100" s="110"/>
      <c r="Z100" s="111"/>
    </row>
    <row r="101" spans="1:26" s="45" customFormat="1">
      <c r="A101" s="127">
        <v>273</v>
      </c>
      <c r="B101" s="124" t="s">
        <v>105</v>
      </c>
      <c r="C101" s="408">
        <v>4011</v>
      </c>
      <c r="D101" s="412">
        <v>1.8112166666666667</v>
      </c>
      <c r="E101" s="420">
        <v>0</v>
      </c>
      <c r="F101" s="155">
        <v>3</v>
      </c>
      <c r="G101" s="419">
        <v>7.4794315632011965E-4</v>
      </c>
      <c r="H101" s="269">
        <v>1671</v>
      </c>
      <c r="I101" s="15">
        <v>1779</v>
      </c>
      <c r="J101" s="331">
        <v>0.93929173693085999</v>
      </c>
      <c r="K101" s="427">
        <v>0.93968803408579615</v>
      </c>
      <c r="L101" s="434">
        <v>0.62984315700000004</v>
      </c>
      <c r="M101" s="14">
        <f>Lisäosat[[#This Row],[HYTE-kerroin (sis. Kulttuurihyte)]]*Lisäosat[[#This Row],[Asukasmäärä 31.12.2023]]</f>
        <v>2526.300902727</v>
      </c>
      <c r="N101" s="427">
        <f>Lisäosat[[#This Row],[HYTE-kerroin (sis. Kulttuurihyte)]]/$N$7</f>
        <v>0.93264375834631441</v>
      </c>
      <c r="O101" s="439">
        <v>0.72711255433363464</v>
      </c>
      <c r="P101" s="197">
        <v>1406390.7057795001</v>
      </c>
      <c r="Q101" s="159">
        <v>0</v>
      </c>
      <c r="R101" s="159">
        <v>50920.388400741911</v>
      </c>
      <c r="S101" s="159">
        <v>74480.007224215908</v>
      </c>
      <c r="T101" s="159">
        <v>30797.695689364122</v>
      </c>
      <c r="U101" s="309">
        <f t="shared" si="2"/>
        <v>1562588.7970938219</v>
      </c>
      <c r="V101" s="44"/>
      <c r="W101" s="44"/>
      <c r="X101" s="110"/>
      <c r="Y101" s="110"/>
      <c r="Z101" s="111"/>
    </row>
    <row r="102" spans="1:26" s="45" customFormat="1">
      <c r="A102" s="127">
        <v>275</v>
      </c>
      <c r="B102" s="124" t="s">
        <v>106</v>
      </c>
      <c r="C102" s="408">
        <v>2499</v>
      </c>
      <c r="D102" s="412">
        <v>0.98441666666666672</v>
      </c>
      <c r="E102" s="420">
        <v>0</v>
      </c>
      <c r="F102" s="155">
        <v>0</v>
      </c>
      <c r="G102" s="419">
        <v>0</v>
      </c>
      <c r="H102" s="269">
        <v>772</v>
      </c>
      <c r="I102" s="15">
        <v>947</v>
      </c>
      <c r="J102" s="331">
        <v>0.81520591341077087</v>
      </c>
      <c r="K102" s="427">
        <v>0.81554985743952113</v>
      </c>
      <c r="L102" s="434">
        <v>0.65846415000000003</v>
      </c>
      <c r="M102" s="14">
        <f>Lisäosat[[#This Row],[HYTE-kerroin (sis. Kulttuurihyte)]]*Lisäosat[[#This Row],[Asukasmäärä 31.12.2023]]</f>
        <v>1645.5019108500001</v>
      </c>
      <c r="N102" s="427">
        <f>Lisäosat[[#This Row],[HYTE-kerroin (sis. Kulttuurihyte)]]/$N$7</f>
        <v>0.97502445294060935</v>
      </c>
      <c r="O102" s="439">
        <v>0</v>
      </c>
      <c r="P102" s="197">
        <v>158747.49434250002</v>
      </c>
      <c r="Q102" s="159">
        <v>0</v>
      </c>
      <c r="R102" s="159">
        <v>27534.178356445816</v>
      </c>
      <c r="S102" s="159">
        <v>48512.429408260781</v>
      </c>
      <c r="T102" s="159">
        <v>0</v>
      </c>
      <c r="U102" s="309">
        <f t="shared" si="2"/>
        <v>234794.10210720665</v>
      </c>
      <c r="V102" s="44"/>
      <c r="W102" s="44"/>
      <c r="X102" s="110"/>
      <c r="Y102" s="110"/>
      <c r="Z102" s="111"/>
    </row>
    <row r="103" spans="1:26" s="45" customFormat="1">
      <c r="A103" s="127">
        <v>276</v>
      </c>
      <c r="B103" s="124" t="s">
        <v>107</v>
      </c>
      <c r="C103" s="408">
        <v>15136</v>
      </c>
      <c r="D103" s="412">
        <v>0</v>
      </c>
      <c r="E103" s="420">
        <v>0</v>
      </c>
      <c r="F103" s="155">
        <v>1</v>
      </c>
      <c r="G103" s="419">
        <v>6.6067653276955605E-5</v>
      </c>
      <c r="H103" s="269">
        <v>3948</v>
      </c>
      <c r="I103" s="15">
        <v>6751</v>
      </c>
      <c r="J103" s="331">
        <v>0.58480225151829357</v>
      </c>
      <c r="K103" s="427">
        <v>0.58504898579622333</v>
      </c>
      <c r="L103" s="434">
        <v>0.62819614000000001</v>
      </c>
      <c r="M103" s="14">
        <f>Lisäosat[[#This Row],[HYTE-kerroin (sis. Kulttuurihyte)]]*Lisäosat[[#This Row],[Asukasmäärä 31.12.2023]]</f>
        <v>9508.3767750400002</v>
      </c>
      <c r="N103" s="427">
        <f>Lisäosat[[#This Row],[HYTE-kerroin (sis. Kulttuurihyte)]]/$N$7</f>
        <v>0.930204928761729</v>
      </c>
      <c r="O103" s="439">
        <v>0.62365952386579382</v>
      </c>
      <c r="P103" s="197">
        <v>0</v>
      </c>
      <c r="Q103" s="159">
        <v>0</v>
      </c>
      <c r="R103" s="159">
        <v>119635.1225761472</v>
      </c>
      <c r="S103" s="159">
        <v>280324.47367259423</v>
      </c>
      <c r="T103" s="159">
        <v>99683.343442136844</v>
      </c>
      <c r="U103" s="309">
        <f t="shared" si="2"/>
        <v>499642.93969087827</v>
      </c>
      <c r="V103" s="44"/>
      <c r="W103" s="44"/>
      <c r="X103" s="110"/>
      <c r="Y103" s="110"/>
      <c r="Z103" s="111"/>
    </row>
    <row r="104" spans="1:26" s="45" customFormat="1">
      <c r="A104" s="127">
        <v>280</v>
      </c>
      <c r="B104" s="124" t="s">
        <v>108</v>
      </c>
      <c r="C104" s="408">
        <v>2015</v>
      </c>
      <c r="D104" s="412">
        <v>1.3017666666666665</v>
      </c>
      <c r="E104" s="420">
        <v>0</v>
      </c>
      <c r="F104" s="155">
        <v>0</v>
      </c>
      <c r="G104" s="419">
        <v>0</v>
      </c>
      <c r="H104" s="269">
        <v>604</v>
      </c>
      <c r="I104" s="15">
        <v>867</v>
      </c>
      <c r="J104" s="331">
        <v>0.69665513264129186</v>
      </c>
      <c r="K104" s="427">
        <v>0.69694905883715041</v>
      </c>
      <c r="L104" s="434">
        <v>0.48779809499999999</v>
      </c>
      <c r="M104" s="14">
        <f>Lisäosat[[#This Row],[HYTE-kerroin (sis. Kulttuurihyte)]]*Lisäosat[[#This Row],[Asukasmäärä 31.12.2023]]</f>
        <v>982.913161425</v>
      </c>
      <c r="N104" s="427">
        <f>Lisäosat[[#This Row],[HYTE-kerroin (sis. Kulttuurihyte)]]/$N$7</f>
        <v>0.7223097426379953</v>
      </c>
      <c r="O104" s="439">
        <v>0</v>
      </c>
      <c r="P104" s="197">
        <v>253899.07656750001</v>
      </c>
      <c r="Q104" s="159">
        <v>0</v>
      </c>
      <c r="R104" s="159">
        <v>18972.800296553152</v>
      </c>
      <c r="S104" s="159">
        <v>28978.091756483813</v>
      </c>
      <c r="T104" s="159">
        <v>0</v>
      </c>
      <c r="U104" s="309">
        <f t="shared" si="2"/>
        <v>301849.96862053702</v>
      </c>
      <c r="V104" s="44"/>
      <c r="W104" s="44"/>
      <c r="X104" s="110"/>
      <c r="Y104" s="110"/>
      <c r="Z104" s="111"/>
    </row>
    <row r="105" spans="1:26" s="45" customFormat="1">
      <c r="A105" s="127">
        <v>284</v>
      </c>
      <c r="B105" s="124" t="s">
        <v>109</v>
      </c>
      <c r="C105" s="408">
        <v>2207</v>
      </c>
      <c r="D105" s="412">
        <v>7.1333333333333335E-3</v>
      </c>
      <c r="E105" s="420">
        <v>0</v>
      </c>
      <c r="F105" s="155">
        <v>0</v>
      </c>
      <c r="G105" s="419">
        <v>0</v>
      </c>
      <c r="H105" s="269">
        <v>900</v>
      </c>
      <c r="I105" s="15">
        <v>871</v>
      </c>
      <c r="J105" s="331">
        <v>1.0332950631458093</v>
      </c>
      <c r="K105" s="427">
        <v>1.0337310213019753</v>
      </c>
      <c r="L105" s="434">
        <v>0.61048535900000001</v>
      </c>
      <c r="M105" s="14">
        <f>Lisäosat[[#This Row],[HYTE-kerroin (sis. Kulttuurihyte)]]*Lisäosat[[#This Row],[Asukasmäärä 31.12.2023]]</f>
        <v>1347.3411873130001</v>
      </c>
      <c r="N105" s="427">
        <f>Lisäosat[[#This Row],[HYTE-kerroin (sis. Kulttuurihyte)]]/$N$7</f>
        <v>0.90397959127649774</v>
      </c>
      <c r="O105" s="439">
        <v>0</v>
      </c>
      <c r="P105" s="197">
        <v>1015.912998</v>
      </c>
      <c r="Q105" s="159">
        <v>0</v>
      </c>
      <c r="R105" s="159">
        <v>30822.313357821837</v>
      </c>
      <c r="S105" s="159">
        <v>39722.10169272936</v>
      </c>
      <c r="T105" s="159">
        <v>0</v>
      </c>
      <c r="U105" s="309">
        <f t="shared" si="2"/>
        <v>71560.328048551193</v>
      </c>
      <c r="V105" s="44"/>
      <c r="W105" s="44"/>
      <c r="X105" s="110"/>
      <c r="Y105" s="110"/>
      <c r="Z105" s="111"/>
    </row>
    <row r="106" spans="1:26" s="45" customFormat="1">
      <c r="A106" s="127">
        <v>285</v>
      </c>
      <c r="B106" s="124" t="s">
        <v>110</v>
      </c>
      <c r="C106" s="408">
        <v>50500</v>
      </c>
      <c r="D106" s="412">
        <v>0</v>
      </c>
      <c r="E106" s="420">
        <v>0</v>
      </c>
      <c r="F106" s="155">
        <v>2</v>
      </c>
      <c r="G106" s="419">
        <v>3.9603960396039605E-5</v>
      </c>
      <c r="H106" s="269">
        <v>21867</v>
      </c>
      <c r="I106" s="15">
        <v>19568</v>
      </c>
      <c r="J106" s="331">
        <v>1.1174877350776777</v>
      </c>
      <c r="K106" s="427">
        <v>1.1179592150158857</v>
      </c>
      <c r="L106" s="434">
        <v>0.672835764</v>
      </c>
      <c r="M106" s="14">
        <f>Lisäosat[[#This Row],[HYTE-kerroin (sis. Kulttuurihyte)]]*Lisäosat[[#This Row],[Asukasmäärä 31.12.2023]]</f>
        <v>33978.206081999997</v>
      </c>
      <c r="N106" s="427">
        <f>Lisäosat[[#This Row],[HYTE-kerroin (sis. Kulttuurihyte)]]/$N$7</f>
        <v>0.99630530031585918</v>
      </c>
      <c r="O106" s="439">
        <v>0</v>
      </c>
      <c r="P106" s="197">
        <v>0</v>
      </c>
      <c r="Q106" s="159">
        <v>0</v>
      </c>
      <c r="R106" s="159">
        <v>762733.26424066315</v>
      </c>
      <c r="S106" s="159">
        <v>1001740.1457290822</v>
      </c>
      <c r="T106" s="159">
        <v>0</v>
      </c>
      <c r="U106" s="309">
        <f t="shared" si="2"/>
        <v>1764473.4099697452</v>
      </c>
      <c r="V106" s="44"/>
      <c r="W106" s="44"/>
      <c r="X106" s="110"/>
      <c r="Y106" s="110"/>
      <c r="Z106" s="111"/>
    </row>
    <row r="107" spans="1:26" s="45" customFormat="1">
      <c r="A107" s="127">
        <v>286</v>
      </c>
      <c r="B107" s="124" t="s">
        <v>111</v>
      </c>
      <c r="C107" s="408">
        <v>78880</v>
      </c>
      <c r="D107" s="412">
        <v>0</v>
      </c>
      <c r="E107" s="420">
        <v>0</v>
      </c>
      <c r="F107" s="155">
        <v>3</v>
      </c>
      <c r="G107" s="419">
        <v>3.8032454361054766E-5</v>
      </c>
      <c r="H107" s="269">
        <v>30171</v>
      </c>
      <c r="I107" s="15">
        <v>31371</v>
      </c>
      <c r="J107" s="331">
        <v>0.96174811131299609</v>
      </c>
      <c r="K107" s="427">
        <v>0.96215388305067151</v>
      </c>
      <c r="L107" s="434">
        <v>0.72008609999999995</v>
      </c>
      <c r="M107" s="14">
        <f>Lisäosat[[#This Row],[HYTE-kerroin (sis. Kulttuurihyte)]]*Lisäosat[[#This Row],[Asukasmäärä 31.12.2023]]</f>
        <v>56800.391567999999</v>
      </c>
      <c r="N107" s="427">
        <f>Lisäosat[[#This Row],[HYTE-kerroin (sis. Kulttuurihyte)]]/$N$7</f>
        <v>1.0662714981865555</v>
      </c>
      <c r="O107" s="439">
        <v>0</v>
      </c>
      <c r="P107" s="197">
        <v>0</v>
      </c>
      <c r="Q107" s="159">
        <v>0</v>
      </c>
      <c r="R107" s="159">
        <v>1025337.3739659495</v>
      </c>
      <c r="S107" s="159">
        <v>1674580.2409191842</v>
      </c>
      <c r="T107" s="159">
        <v>0</v>
      </c>
      <c r="U107" s="309">
        <f t="shared" si="2"/>
        <v>2699917.6148851337</v>
      </c>
      <c r="V107" s="44"/>
      <c r="W107" s="44"/>
      <c r="X107" s="110"/>
      <c r="Y107" s="110"/>
      <c r="Z107" s="111"/>
    </row>
    <row r="108" spans="1:26" s="45" customFormat="1">
      <c r="A108" s="127">
        <v>287</v>
      </c>
      <c r="B108" s="124" t="s">
        <v>112</v>
      </c>
      <c r="C108" s="408">
        <v>6199</v>
      </c>
      <c r="D108" s="412">
        <v>0.94283333333333341</v>
      </c>
      <c r="E108" s="420">
        <v>0</v>
      </c>
      <c r="F108" s="155">
        <v>0</v>
      </c>
      <c r="G108" s="419">
        <v>0</v>
      </c>
      <c r="H108" s="269">
        <v>2319</v>
      </c>
      <c r="I108" s="15">
        <v>2470</v>
      </c>
      <c r="J108" s="331">
        <v>0.93886639676113359</v>
      </c>
      <c r="K108" s="427">
        <v>0.93926251446053699</v>
      </c>
      <c r="L108" s="434">
        <v>0.640405628</v>
      </c>
      <c r="M108" s="14">
        <f>Lisäosat[[#This Row],[HYTE-kerroin (sis. Kulttuurihyte)]]*Lisäosat[[#This Row],[Asukasmäärä 31.12.2023]]</f>
        <v>3969.8744879720002</v>
      </c>
      <c r="N108" s="427">
        <f>Lisäosat[[#This Row],[HYTE-kerroin (sis. Kulttuurihyte)]]/$N$7</f>
        <v>0.94828419603525471</v>
      </c>
      <c r="O108" s="439">
        <v>0</v>
      </c>
      <c r="P108" s="197">
        <v>377153.57596500003</v>
      </c>
      <c r="Q108" s="159">
        <v>0</v>
      </c>
      <c r="R108" s="159">
        <v>78661.817299673145</v>
      </c>
      <c r="S108" s="159">
        <v>117039.21738864086</v>
      </c>
      <c r="T108" s="159">
        <v>0</v>
      </c>
      <c r="U108" s="309">
        <f t="shared" si="2"/>
        <v>572854.61065331404</v>
      </c>
      <c r="V108" s="44"/>
      <c r="W108" s="44"/>
      <c r="X108" s="110"/>
      <c r="Y108" s="110"/>
      <c r="Z108" s="111"/>
    </row>
    <row r="109" spans="1:26" s="45" customFormat="1">
      <c r="A109" s="127">
        <v>288</v>
      </c>
      <c r="B109" s="124" t="s">
        <v>113</v>
      </c>
      <c r="C109" s="408">
        <v>6368</v>
      </c>
      <c r="D109" s="412">
        <v>0</v>
      </c>
      <c r="E109" s="420">
        <v>0</v>
      </c>
      <c r="F109" s="155">
        <v>0</v>
      </c>
      <c r="G109" s="419">
        <v>0</v>
      </c>
      <c r="H109" s="269">
        <v>2218</v>
      </c>
      <c r="I109" s="15">
        <v>2799</v>
      </c>
      <c r="J109" s="331">
        <v>0.79242586638085033</v>
      </c>
      <c r="K109" s="427">
        <v>0.79276019926593533</v>
      </c>
      <c r="L109" s="434">
        <v>0.63628630799999997</v>
      </c>
      <c r="M109" s="14">
        <f>Lisäosat[[#This Row],[HYTE-kerroin (sis. Kulttuurihyte)]]*Lisäosat[[#This Row],[Asukasmäärä 31.12.2023]]</f>
        <v>4051.8712093439999</v>
      </c>
      <c r="N109" s="427">
        <f>Lisäosat[[#This Row],[HYTE-kerroin (sis. Kulttuurihyte)]]/$N$7</f>
        <v>0.94218449003077842</v>
      </c>
      <c r="O109" s="439">
        <v>0</v>
      </c>
      <c r="P109" s="197">
        <v>0</v>
      </c>
      <c r="Q109" s="159">
        <v>0</v>
      </c>
      <c r="R109" s="159">
        <v>68202.491779983189</v>
      </c>
      <c r="S109" s="159">
        <v>119456.6318753935</v>
      </c>
      <c r="T109" s="159">
        <v>0</v>
      </c>
      <c r="U109" s="309">
        <f t="shared" si="2"/>
        <v>187659.12365537669</v>
      </c>
      <c r="V109" s="44"/>
      <c r="W109" s="44"/>
      <c r="X109" s="110"/>
      <c r="Y109" s="110"/>
      <c r="Z109" s="111"/>
    </row>
    <row r="110" spans="1:26" s="45" customFormat="1">
      <c r="A110" s="127">
        <v>290</v>
      </c>
      <c r="B110" s="124" t="s">
        <v>114</v>
      </c>
      <c r="C110" s="408">
        <v>7582</v>
      </c>
      <c r="D110" s="412">
        <v>1.4461833333333334</v>
      </c>
      <c r="E110" s="420">
        <v>0</v>
      </c>
      <c r="F110" s="155">
        <v>0</v>
      </c>
      <c r="G110" s="419">
        <v>0</v>
      </c>
      <c r="H110" s="269">
        <v>2567</v>
      </c>
      <c r="I110" s="15">
        <v>2639</v>
      </c>
      <c r="J110" s="331">
        <v>0.9727169382341796</v>
      </c>
      <c r="K110" s="427">
        <v>0.97312733783637351</v>
      </c>
      <c r="L110" s="434">
        <v>0.72880646400000004</v>
      </c>
      <c r="M110" s="14">
        <f>Lisäosat[[#This Row],[HYTE-kerroin (sis. Kulttuurihyte)]]*Lisäosat[[#This Row],[Asukasmäärä 31.12.2023]]</f>
        <v>5525.8106100479999</v>
      </c>
      <c r="N110" s="427">
        <f>Lisäosat[[#This Row],[HYTE-kerroin (sis. Kulttuurihyte)]]/$N$7</f>
        <v>1.0791842256881865</v>
      </c>
      <c r="O110" s="439">
        <v>0</v>
      </c>
      <c r="P110" s="197">
        <v>1061353.5000165</v>
      </c>
      <c r="Q110" s="159">
        <v>0</v>
      </c>
      <c r="R110" s="159">
        <v>99680.177433672434</v>
      </c>
      <c r="S110" s="159">
        <v>162911.08225143151</v>
      </c>
      <c r="T110" s="159">
        <v>0</v>
      </c>
      <c r="U110" s="309">
        <f t="shared" si="2"/>
        <v>1323944.7597016038</v>
      </c>
      <c r="V110" s="44"/>
      <c r="W110" s="44"/>
      <c r="X110" s="110"/>
      <c r="Y110" s="110"/>
      <c r="Z110" s="111"/>
    </row>
    <row r="111" spans="1:26" s="45" customFormat="1">
      <c r="A111" s="127">
        <v>291</v>
      </c>
      <c r="B111" s="124" t="s">
        <v>115</v>
      </c>
      <c r="C111" s="408">
        <v>2092</v>
      </c>
      <c r="D111" s="412">
        <v>1.3818166666666667</v>
      </c>
      <c r="E111" s="420">
        <v>0</v>
      </c>
      <c r="F111" s="155">
        <v>2</v>
      </c>
      <c r="G111" s="419">
        <v>9.5602294455066918E-4</v>
      </c>
      <c r="H111" s="269">
        <v>579</v>
      </c>
      <c r="I111" s="15">
        <v>684</v>
      </c>
      <c r="J111" s="331">
        <v>0.84649122807017541</v>
      </c>
      <c r="K111" s="427">
        <v>0.84684837170529226</v>
      </c>
      <c r="L111" s="434">
        <v>0.496037173</v>
      </c>
      <c r="M111" s="14">
        <f>Lisäosat[[#This Row],[HYTE-kerroin (sis. Kulttuurihyte)]]*Lisäosat[[#This Row],[Asukasmäärä 31.12.2023]]</f>
        <v>1037.7097659159999</v>
      </c>
      <c r="N111" s="427">
        <f>Lisäosat[[#This Row],[HYTE-kerroin (sis. Kulttuurihyte)]]/$N$7</f>
        <v>0.73450980321788417</v>
      </c>
      <c r="O111" s="439">
        <v>0</v>
      </c>
      <c r="P111" s="197">
        <v>279811.15937100002</v>
      </c>
      <c r="Q111" s="159">
        <v>0</v>
      </c>
      <c r="R111" s="159">
        <v>23934.407781636939</v>
      </c>
      <c r="S111" s="159">
        <v>30593.596660886407</v>
      </c>
      <c r="T111" s="159">
        <v>0</v>
      </c>
      <c r="U111" s="309">
        <f t="shared" si="2"/>
        <v>334339.16381352337</v>
      </c>
      <c r="V111" s="44"/>
      <c r="W111" s="44"/>
      <c r="X111" s="110"/>
      <c r="Y111" s="110"/>
      <c r="Z111" s="111"/>
    </row>
    <row r="112" spans="1:26" s="45" customFormat="1">
      <c r="A112" s="127">
        <v>297</v>
      </c>
      <c r="B112" s="124" t="s">
        <v>116</v>
      </c>
      <c r="C112" s="408">
        <v>124021</v>
      </c>
      <c r="D112" s="412">
        <v>0</v>
      </c>
      <c r="E112" s="420">
        <v>0</v>
      </c>
      <c r="F112" s="155">
        <v>0</v>
      </c>
      <c r="G112" s="419">
        <v>0</v>
      </c>
      <c r="H112" s="269">
        <v>55401</v>
      </c>
      <c r="I112" s="15">
        <v>53779</v>
      </c>
      <c r="J112" s="331">
        <v>1.0301604715595307</v>
      </c>
      <c r="K112" s="427">
        <v>1.0305951071982309</v>
      </c>
      <c r="L112" s="434">
        <v>0.73081434499999998</v>
      </c>
      <c r="M112" s="14">
        <f>Lisäosat[[#This Row],[HYTE-kerroin (sis. Kulttuurihyte)]]*Lisäosat[[#This Row],[Asukasmäärä 31.12.2023]]</f>
        <v>90636.325881244993</v>
      </c>
      <c r="N112" s="427">
        <f>Lisäosat[[#This Row],[HYTE-kerroin (sis. Kulttuurihyte)]]/$N$7</f>
        <v>1.0821574066481443</v>
      </c>
      <c r="O112" s="439">
        <v>1.0458706933817192</v>
      </c>
      <c r="P112" s="197">
        <v>0</v>
      </c>
      <c r="Q112" s="159">
        <v>0</v>
      </c>
      <c r="R112" s="159">
        <v>1726786.5375206275</v>
      </c>
      <c r="S112" s="159">
        <v>2672125.9526624982</v>
      </c>
      <c r="T112" s="159">
        <v>1369736.8530267228</v>
      </c>
      <c r="U112" s="309">
        <f t="shared" si="2"/>
        <v>5768649.3432098487</v>
      </c>
      <c r="V112" s="44"/>
      <c r="W112" s="44"/>
      <c r="X112" s="110"/>
      <c r="Y112" s="110"/>
      <c r="Z112" s="111"/>
    </row>
    <row r="113" spans="1:26" s="45" customFormat="1">
      <c r="A113" s="127">
        <v>300</v>
      </c>
      <c r="B113" s="124" t="s">
        <v>117</v>
      </c>
      <c r="C113" s="408">
        <v>3381</v>
      </c>
      <c r="D113" s="412">
        <v>0.40506666666666669</v>
      </c>
      <c r="E113" s="420">
        <v>0</v>
      </c>
      <c r="F113" s="155">
        <v>0</v>
      </c>
      <c r="G113" s="419">
        <v>0</v>
      </c>
      <c r="H113" s="269">
        <v>1306</v>
      </c>
      <c r="I113" s="15">
        <v>1373</v>
      </c>
      <c r="J113" s="331">
        <v>0.95120174799708668</v>
      </c>
      <c r="K113" s="427">
        <v>0.95160307011212342</v>
      </c>
      <c r="L113" s="434">
        <v>0.60381151899999996</v>
      </c>
      <c r="M113" s="14">
        <f>Lisäosat[[#This Row],[HYTE-kerroin (sis. Kulttuurihyte)]]*Lisäosat[[#This Row],[Asukasmäärä 31.12.2023]]</f>
        <v>2041.4867457389998</v>
      </c>
      <c r="N113" s="427">
        <f>Lisäosat[[#This Row],[HYTE-kerroin (sis. Kulttuurihyte)]]/$N$7</f>
        <v>0.89409726557203351</v>
      </c>
      <c r="O113" s="439">
        <v>0</v>
      </c>
      <c r="P113" s="197">
        <v>88375.79671200001</v>
      </c>
      <c r="Q113" s="159">
        <v>0</v>
      </c>
      <c r="R113" s="159">
        <v>43466.6684304632</v>
      </c>
      <c r="S113" s="159">
        <v>60186.792241039991</v>
      </c>
      <c r="T113" s="159">
        <v>0</v>
      </c>
      <c r="U113" s="309">
        <f t="shared" si="2"/>
        <v>192029.25738350319</v>
      </c>
      <c r="V113" s="44"/>
      <c r="W113" s="44"/>
      <c r="X113" s="110"/>
      <c r="Y113" s="110"/>
      <c r="Z113" s="111"/>
    </row>
    <row r="114" spans="1:26" s="45" customFormat="1">
      <c r="A114" s="127">
        <v>301</v>
      </c>
      <c r="B114" s="124" t="s">
        <v>118</v>
      </c>
      <c r="C114" s="408">
        <v>19759</v>
      </c>
      <c r="D114" s="412">
        <v>0</v>
      </c>
      <c r="E114" s="420">
        <v>0</v>
      </c>
      <c r="F114" s="155">
        <v>0</v>
      </c>
      <c r="G114" s="419">
        <v>0</v>
      </c>
      <c r="H114" s="269">
        <v>6865</v>
      </c>
      <c r="I114" s="15">
        <v>7768</v>
      </c>
      <c r="J114" s="331">
        <v>0.88375386199794026</v>
      </c>
      <c r="K114" s="427">
        <v>0.88412672713387563</v>
      </c>
      <c r="L114" s="434">
        <v>0.72086076899999996</v>
      </c>
      <c r="M114" s="14">
        <f>Lisäosat[[#This Row],[HYTE-kerroin (sis. Kulttuurihyte)]]*Lisäosat[[#This Row],[Asukasmäärä 31.12.2023]]</f>
        <v>14243.487934670999</v>
      </c>
      <c r="N114" s="427">
        <f>Lisäosat[[#This Row],[HYTE-kerroin (sis. Kulttuurihyte)]]/$N$7</f>
        <v>1.0674185936175444</v>
      </c>
      <c r="O114" s="439">
        <v>0</v>
      </c>
      <c r="P114" s="197">
        <v>0</v>
      </c>
      <c r="Q114" s="159">
        <v>0</v>
      </c>
      <c r="R114" s="159">
        <v>236012.40461943074</v>
      </c>
      <c r="S114" s="159">
        <v>419924.27866656519</v>
      </c>
      <c r="T114" s="159">
        <v>0</v>
      </c>
      <c r="U114" s="309">
        <f t="shared" si="2"/>
        <v>655936.68328599597</v>
      </c>
      <c r="V114" s="44"/>
      <c r="W114" s="44"/>
      <c r="X114" s="110"/>
      <c r="Y114" s="110"/>
      <c r="Z114" s="111"/>
    </row>
    <row r="115" spans="1:26" s="104" customFormat="1">
      <c r="A115" s="124">
        <v>304</v>
      </c>
      <c r="B115" s="124" t="s">
        <v>119</v>
      </c>
      <c r="C115" s="408">
        <v>949</v>
      </c>
      <c r="D115" s="412">
        <v>1.30155</v>
      </c>
      <c r="E115" s="420">
        <v>0</v>
      </c>
      <c r="F115" s="155">
        <v>0</v>
      </c>
      <c r="G115" s="419">
        <v>0</v>
      </c>
      <c r="H115" s="269">
        <v>303</v>
      </c>
      <c r="I115" s="15">
        <v>370</v>
      </c>
      <c r="J115" s="331">
        <v>0.81891891891891888</v>
      </c>
      <c r="K115" s="427">
        <v>0.81926442950410872</v>
      </c>
      <c r="L115" s="434">
        <v>0.536885854</v>
      </c>
      <c r="M115" s="14">
        <f>Lisäosat[[#This Row],[HYTE-kerroin (sis. Kulttuurihyte)]]*Lisäosat[[#This Row],[Asukasmäärä 31.12.2023]]</f>
        <v>509.50467544600002</v>
      </c>
      <c r="N115" s="427">
        <f>Lisäosat[[#This Row],[HYTE-kerroin (sis. Kulttuurihyte)]]/$N$7</f>
        <v>0.79499671483694567</v>
      </c>
      <c r="O115" s="438">
        <v>0</v>
      </c>
      <c r="P115" s="197">
        <v>119558.37210524999</v>
      </c>
      <c r="Q115" s="159">
        <v>0</v>
      </c>
      <c r="R115" s="159">
        <v>10503.781058027882</v>
      </c>
      <c r="S115" s="159">
        <v>15021.136978191005</v>
      </c>
      <c r="T115" s="159">
        <v>0</v>
      </c>
      <c r="U115" s="309">
        <f t="shared" si="2"/>
        <v>145083.29014146887</v>
      </c>
      <c r="V115" s="59"/>
      <c r="W115" s="59"/>
      <c r="X115" s="109"/>
      <c r="Y115" s="110"/>
      <c r="Z115" s="111"/>
    </row>
    <row r="116" spans="1:26" s="45" customFormat="1">
      <c r="A116" s="127">
        <v>305</v>
      </c>
      <c r="B116" s="124" t="s">
        <v>120</v>
      </c>
      <c r="C116" s="408">
        <v>15019</v>
      </c>
      <c r="D116" s="412">
        <v>0.90171666666666672</v>
      </c>
      <c r="E116" s="420">
        <v>0</v>
      </c>
      <c r="F116" s="155">
        <v>6</v>
      </c>
      <c r="G116" s="419">
        <v>3.9949397429922101E-4</v>
      </c>
      <c r="H116" s="269">
        <v>6038</v>
      </c>
      <c r="I116" s="15">
        <v>5922</v>
      </c>
      <c r="J116" s="331">
        <v>1.0195879770347855</v>
      </c>
      <c r="K116" s="427">
        <v>1.0200181520258127</v>
      </c>
      <c r="L116" s="434">
        <v>0.61698875099999995</v>
      </c>
      <c r="M116" s="14">
        <f>Lisäosat[[#This Row],[HYTE-kerroin (sis. Kulttuurihyte)]]*Lisäosat[[#This Row],[Asukasmäärä 31.12.2023]]</f>
        <v>9266.5540512689986</v>
      </c>
      <c r="N116" s="427">
        <f>Lisäosat[[#This Row],[HYTE-kerroin (sis. Kulttuurihyte)]]/$N$7</f>
        <v>0.91360952515681337</v>
      </c>
      <c r="O116" s="439">
        <v>0</v>
      </c>
      <c r="P116" s="197">
        <v>873922.21525350004</v>
      </c>
      <c r="Q116" s="159">
        <v>0</v>
      </c>
      <c r="R116" s="159">
        <v>206968.50696747444</v>
      </c>
      <c r="S116" s="159">
        <v>273195.09403535386</v>
      </c>
      <c r="T116" s="159">
        <v>0</v>
      </c>
      <c r="U116" s="309">
        <f t="shared" si="2"/>
        <v>1354085.8162563285</v>
      </c>
      <c r="V116" s="44"/>
      <c r="W116" s="44"/>
      <c r="X116" s="110"/>
      <c r="Y116" s="110"/>
      <c r="Z116" s="111"/>
    </row>
    <row r="117" spans="1:26" s="45" customFormat="1">
      <c r="A117" s="127">
        <v>309</v>
      </c>
      <c r="B117" s="124" t="s">
        <v>121</v>
      </c>
      <c r="C117" s="408">
        <v>6409</v>
      </c>
      <c r="D117" s="412">
        <v>0.377</v>
      </c>
      <c r="E117" s="420">
        <v>0</v>
      </c>
      <c r="F117" s="155">
        <v>0</v>
      </c>
      <c r="G117" s="419">
        <v>0</v>
      </c>
      <c r="H117" s="269">
        <v>2384</v>
      </c>
      <c r="I117" s="15">
        <v>2104</v>
      </c>
      <c r="J117" s="331">
        <v>1.1330798479087452</v>
      </c>
      <c r="K117" s="427">
        <v>1.1335579063248757</v>
      </c>
      <c r="L117" s="434">
        <v>0.711985019</v>
      </c>
      <c r="M117" s="14">
        <f>Lisäosat[[#This Row],[HYTE-kerroin (sis. Kulttuurihyte)]]*Lisäosat[[#This Row],[Asukasmäärä 31.12.2023]]</f>
        <v>4563.1119867710004</v>
      </c>
      <c r="N117" s="427">
        <f>Lisäosat[[#This Row],[HYTE-kerroin (sis. Kulttuurihyte)]]/$N$7</f>
        <v>1.0542757774320506</v>
      </c>
      <c r="O117" s="439">
        <v>0</v>
      </c>
      <c r="P117" s="197">
        <v>155916.93429</v>
      </c>
      <c r="Q117" s="159">
        <v>0</v>
      </c>
      <c r="R117" s="159">
        <v>98149.780118304101</v>
      </c>
      <c r="S117" s="159">
        <v>134528.95234005968</v>
      </c>
      <c r="T117" s="159">
        <v>0</v>
      </c>
      <c r="U117" s="309">
        <f t="shared" si="2"/>
        <v>388595.66674836376</v>
      </c>
      <c r="V117" s="44"/>
      <c r="W117" s="44"/>
      <c r="X117" s="110"/>
      <c r="Y117" s="110"/>
      <c r="Z117" s="111"/>
    </row>
    <row r="118" spans="1:26" s="45" customFormat="1">
      <c r="A118" s="127">
        <v>312</v>
      </c>
      <c r="B118" s="124" t="s">
        <v>122</v>
      </c>
      <c r="C118" s="408">
        <v>1174</v>
      </c>
      <c r="D118" s="412">
        <v>1.3499166666666667</v>
      </c>
      <c r="E118" s="420">
        <v>0</v>
      </c>
      <c r="F118" s="155">
        <v>0</v>
      </c>
      <c r="G118" s="419">
        <v>0</v>
      </c>
      <c r="H118" s="269">
        <v>415</v>
      </c>
      <c r="I118" s="15">
        <v>404</v>
      </c>
      <c r="J118" s="331">
        <v>1.0272277227722773</v>
      </c>
      <c r="K118" s="427">
        <v>1.0276611210531312</v>
      </c>
      <c r="L118" s="434">
        <v>0.58617996100000003</v>
      </c>
      <c r="M118" s="14">
        <f>Lisäosat[[#This Row],[HYTE-kerroin (sis. Kulttuurihyte)]]*Lisäosat[[#This Row],[Asukasmäärä 31.12.2023]]</f>
        <v>688.17527421400007</v>
      </c>
      <c r="N118" s="427">
        <f>Lisäosat[[#This Row],[HYTE-kerroin (sis. Kulttuurihyte)]]/$N$7</f>
        <v>0.86798923798474481</v>
      </c>
      <c r="O118" s="439">
        <v>0</v>
      </c>
      <c r="P118" s="197">
        <v>153400.92572250002</v>
      </c>
      <c r="Q118" s="159">
        <v>0</v>
      </c>
      <c r="R118" s="159">
        <v>16299.465849132239</v>
      </c>
      <c r="S118" s="159">
        <v>20288.675564996342</v>
      </c>
      <c r="T118" s="159">
        <v>0</v>
      </c>
      <c r="U118" s="309">
        <f t="shared" si="2"/>
        <v>189989.06713662861</v>
      </c>
      <c r="V118" s="44"/>
      <c r="W118" s="44"/>
      <c r="X118" s="110"/>
      <c r="Y118" s="110"/>
      <c r="Z118" s="111"/>
    </row>
    <row r="119" spans="1:26" s="45" customFormat="1">
      <c r="A119" s="127">
        <v>316</v>
      </c>
      <c r="B119" s="124" t="s">
        <v>123</v>
      </c>
      <c r="C119" s="408">
        <v>4114</v>
      </c>
      <c r="D119" s="412">
        <v>0</v>
      </c>
      <c r="E119" s="420">
        <v>0</v>
      </c>
      <c r="F119" s="155">
        <v>0</v>
      </c>
      <c r="G119" s="419">
        <v>0</v>
      </c>
      <c r="H119" s="269">
        <v>1595</v>
      </c>
      <c r="I119" s="15">
        <v>1731</v>
      </c>
      <c r="J119" s="331">
        <v>0.92143269786250726</v>
      </c>
      <c r="K119" s="427">
        <v>0.92182146009927646</v>
      </c>
      <c r="L119" s="434">
        <v>0.64142571800000003</v>
      </c>
      <c r="M119" s="14">
        <f>Lisäosat[[#This Row],[HYTE-kerroin (sis. Kulttuurihyte)]]*Lisäosat[[#This Row],[Asukasmäärä 31.12.2023]]</f>
        <v>2638.8254038520004</v>
      </c>
      <c r="N119" s="427">
        <f>Lisäosat[[#This Row],[HYTE-kerroin (sis. Kulttuurihyte)]]/$N$7</f>
        <v>0.94979469997719324</v>
      </c>
      <c r="O119" s="439">
        <v>0</v>
      </c>
      <c r="P119" s="197">
        <v>0</v>
      </c>
      <c r="Q119" s="159">
        <v>0</v>
      </c>
      <c r="R119" s="159">
        <v>51234.965807322202</v>
      </c>
      <c r="S119" s="159">
        <v>77797.436928509909</v>
      </c>
      <c r="T119" s="159">
        <v>0</v>
      </c>
      <c r="U119" s="309">
        <f t="shared" si="2"/>
        <v>129032.40273583212</v>
      </c>
      <c r="V119" s="44"/>
      <c r="W119" s="44"/>
      <c r="X119" s="110"/>
      <c r="Y119" s="110"/>
      <c r="Z119" s="111"/>
    </row>
    <row r="120" spans="1:26" s="45" customFormat="1">
      <c r="A120" s="127">
        <v>317</v>
      </c>
      <c r="B120" s="124" t="s">
        <v>124</v>
      </c>
      <c r="C120" s="408">
        <v>2440</v>
      </c>
      <c r="D120" s="412">
        <v>1.2173500000000002</v>
      </c>
      <c r="E120" s="420">
        <v>0</v>
      </c>
      <c r="F120" s="155">
        <v>0</v>
      </c>
      <c r="G120" s="419">
        <v>0</v>
      </c>
      <c r="H120" s="269">
        <v>971</v>
      </c>
      <c r="I120" s="15">
        <v>889</v>
      </c>
      <c r="J120" s="331">
        <v>1.092238470191226</v>
      </c>
      <c r="K120" s="427">
        <v>1.0926992971965428</v>
      </c>
      <c r="L120" s="434">
        <v>0.54592413399999995</v>
      </c>
      <c r="M120" s="14">
        <f>Lisäosat[[#This Row],[HYTE-kerroin (sis. Kulttuurihyte)]]*Lisäosat[[#This Row],[Asukasmäärä 31.12.2023]]</f>
        <v>1332.05488696</v>
      </c>
      <c r="N120" s="427">
        <f>Lisäosat[[#This Row],[HYTE-kerroin (sis. Kulttuurihyte)]]/$N$7</f>
        <v>0.80838019822404283</v>
      </c>
      <c r="O120" s="439">
        <v>0</v>
      </c>
      <c r="P120" s="197">
        <v>287513.47953000001</v>
      </c>
      <c r="Q120" s="159">
        <v>0</v>
      </c>
      <c r="R120" s="159">
        <v>36020.176712505716</v>
      </c>
      <c r="S120" s="159">
        <v>39271.43338180329</v>
      </c>
      <c r="T120" s="159">
        <v>0</v>
      </c>
      <c r="U120" s="309">
        <f t="shared" si="2"/>
        <v>362805.08962430898</v>
      </c>
      <c r="V120" s="44"/>
      <c r="W120" s="44"/>
      <c r="X120" s="110"/>
      <c r="Y120" s="110"/>
      <c r="Z120" s="111"/>
    </row>
    <row r="121" spans="1:26" s="45" customFormat="1">
      <c r="A121" s="127">
        <v>320</v>
      </c>
      <c r="B121" s="124" t="s">
        <v>125</v>
      </c>
      <c r="C121" s="408">
        <v>7030</v>
      </c>
      <c r="D121" s="412">
        <v>1.4655333333333334</v>
      </c>
      <c r="E121" s="420">
        <v>0</v>
      </c>
      <c r="F121" s="155">
        <v>3</v>
      </c>
      <c r="G121" s="419">
        <v>4.2674253200568991E-4</v>
      </c>
      <c r="H121" s="269">
        <v>2118</v>
      </c>
      <c r="I121" s="15">
        <v>2252</v>
      </c>
      <c r="J121" s="331">
        <v>0.94049733570159855</v>
      </c>
      <c r="K121" s="427">
        <v>0.94089414151145423</v>
      </c>
      <c r="L121" s="434">
        <v>0.62194316199999999</v>
      </c>
      <c r="M121" s="14">
        <f>Lisäosat[[#This Row],[HYTE-kerroin (sis. Kulttuurihyte)]]*Lisäosat[[#This Row],[Asukasmäärä 31.12.2023]]</f>
        <v>4372.2604288599996</v>
      </c>
      <c r="N121" s="427">
        <f>Lisäosat[[#This Row],[HYTE-kerroin (sis. Kulttuurihyte)]]/$N$7</f>
        <v>0.9209457968048872</v>
      </c>
      <c r="O121" s="439">
        <v>0</v>
      </c>
      <c r="P121" s="197">
        <v>997249.78197000013</v>
      </c>
      <c r="Q121" s="159">
        <v>0</v>
      </c>
      <c r="R121" s="159">
        <v>89361.703358292827</v>
      </c>
      <c r="S121" s="159">
        <v>128902.29662512869</v>
      </c>
      <c r="T121" s="159">
        <v>0</v>
      </c>
      <c r="U121" s="309">
        <f t="shared" si="2"/>
        <v>1215513.7819534217</v>
      </c>
      <c r="V121" s="44"/>
      <c r="W121" s="44"/>
      <c r="X121" s="110"/>
      <c r="Y121" s="110"/>
      <c r="Z121" s="111"/>
    </row>
    <row r="122" spans="1:26" s="45" customFormat="1">
      <c r="A122" s="127">
        <v>322</v>
      </c>
      <c r="B122" s="124" t="s">
        <v>126</v>
      </c>
      <c r="C122" s="408">
        <v>6462</v>
      </c>
      <c r="D122" s="412">
        <v>1.2882500000000001</v>
      </c>
      <c r="E122" s="420">
        <v>0</v>
      </c>
      <c r="F122" s="155">
        <v>0</v>
      </c>
      <c r="G122" s="419">
        <v>0</v>
      </c>
      <c r="H122" s="269">
        <v>2138</v>
      </c>
      <c r="I122" s="15">
        <v>2530</v>
      </c>
      <c r="J122" s="331">
        <v>0.84505928853754941</v>
      </c>
      <c r="K122" s="427">
        <v>0.84541582802217652</v>
      </c>
      <c r="L122" s="434">
        <v>0.64330505599999999</v>
      </c>
      <c r="M122" s="14">
        <f>Lisäosat[[#This Row],[HYTE-kerroin (sis. Kulttuurihyte)]]*Lisäosat[[#This Row],[Asukasmäärä 31.12.2023]]</f>
        <v>4157.037271872</v>
      </c>
      <c r="N122" s="427">
        <f>Lisäosat[[#This Row],[HYTE-kerroin (sis. Kulttuurihyte)]]/$N$7</f>
        <v>0.95257754017485696</v>
      </c>
      <c r="O122" s="439">
        <v>0</v>
      </c>
      <c r="P122" s="197">
        <v>805786.57784250006</v>
      </c>
      <c r="Q122" s="159">
        <v>0</v>
      </c>
      <c r="R122" s="159">
        <v>73806.171359977394</v>
      </c>
      <c r="S122" s="159">
        <v>122557.12124638363</v>
      </c>
      <c r="T122" s="159">
        <v>0</v>
      </c>
      <c r="U122" s="309">
        <f t="shared" si="2"/>
        <v>1002149.8704488612</v>
      </c>
      <c r="V122" s="44"/>
      <c r="W122" s="44"/>
      <c r="X122" s="110"/>
      <c r="Y122" s="110"/>
      <c r="Z122" s="111"/>
    </row>
    <row r="123" spans="1:26" s="45" customFormat="1">
      <c r="A123" s="127">
        <v>398</v>
      </c>
      <c r="B123" s="124" t="s">
        <v>127</v>
      </c>
      <c r="C123" s="408">
        <v>120693</v>
      </c>
      <c r="D123" s="412">
        <v>0</v>
      </c>
      <c r="E123" s="420">
        <v>0</v>
      </c>
      <c r="F123" s="155">
        <v>19</v>
      </c>
      <c r="G123" s="419">
        <v>1.5742420852907791E-4</v>
      </c>
      <c r="H123" s="269">
        <v>51608</v>
      </c>
      <c r="I123" s="15">
        <v>48752</v>
      </c>
      <c r="J123" s="331">
        <v>1.0585822120118149</v>
      </c>
      <c r="K123" s="427">
        <v>1.0590288390845251</v>
      </c>
      <c r="L123" s="434">
        <v>0.74186849099999996</v>
      </c>
      <c r="M123" s="14">
        <f>Lisäosat[[#This Row],[HYTE-kerroin (sis. Kulttuurihyte)]]*Lisäosat[[#This Row],[Asukasmäärä 31.12.2023]]</f>
        <v>89538.333784262999</v>
      </c>
      <c r="N123" s="427">
        <f>Lisäosat[[#This Row],[HYTE-kerroin (sis. Kulttuurihyte)]]/$N$7</f>
        <v>1.0985258948283674</v>
      </c>
      <c r="O123" s="439">
        <v>0.1967272569353066</v>
      </c>
      <c r="P123" s="197">
        <v>0</v>
      </c>
      <c r="Q123" s="159">
        <v>0</v>
      </c>
      <c r="R123" s="159">
        <v>1726812.6372977421</v>
      </c>
      <c r="S123" s="159">
        <v>2639755.1217661961</v>
      </c>
      <c r="T123" s="159">
        <v>250732.44579285366</v>
      </c>
      <c r="U123" s="309">
        <f t="shared" si="2"/>
        <v>4617300.2048567925</v>
      </c>
      <c r="V123" s="44"/>
      <c r="W123" s="44"/>
      <c r="X123" s="110"/>
      <c r="Y123" s="110"/>
      <c r="Z123" s="111"/>
    </row>
    <row r="124" spans="1:26" s="104" customFormat="1">
      <c r="A124" s="124">
        <v>399</v>
      </c>
      <c r="B124" s="124" t="s">
        <v>128</v>
      </c>
      <c r="C124" s="408">
        <v>7682</v>
      </c>
      <c r="D124" s="412">
        <v>0</v>
      </c>
      <c r="E124" s="420">
        <v>0</v>
      </c>
      <c r="F124" s="155">
        <v>0</v>
      </c>
      <c r="G124" s="419">
        <v>0</v>
      </c>
      <c r="H124" s="269">
        <v>1749</v>
      </c>
      <c r="I124" s="15">
        <v>3384</v>
      </c>
      <c r="J124" s="331">
        <v>0.51684397163120566</v>
      </c>
      <c r="K124" s="427">
        <v>0.51706203358943459</v>
      </c>
      <c r="L124" s="434">
        <v>0.51049184199999997</v>
      </c>
      <c r="M124" s="14">
        <f>Lisäosat[[#This Row],[HYTE-kerroin (sis. Kulttuurihyte)]]*Lisäosat[[#This Row],[Asukasmäärä 31.12.2023]]</f>
        <v>3921.598330244</v>
      </c>
      <c r="N124" s="427">
        <f>Lisäosat[[#This Row],[HYTE-kerroin (sis. Kulttuurihyte)]]/$N$7</f>
        <v>0.75591363474639273</v>
      </c>
      <c r="O124" s="438">
        <v>0</v>
      </c>
      <c r="P124" s="197">
        <v>0</v>
      </c>
      <c r="Q124" s="159">
        <v>0</v>
      </c>
      <c r="R124" s="159">
        <v>53662.673022879833</v>
      </c>
      <c r="S124" s="159">
        <v>115615.94727364482</v>
      </c>
      <c r="T124" s="159">
        <v>0</v>
      </c>
      <c r="U124" s="309">
        <f t="shared" si="2"/>
        <v>169278.62029652466</v>
      </c>
      <c r="V124" s="59"/>
      <c r="W124" s="59"/>
      <c r="X124" s="109"/>
      <c r="Y124" s="110"/>
      <c r="Z124" s="111"/>
    </row>
    <row r="125" spans="1:26" s="45" customFormat="1">
      <c r="A125" s="127">
        <v>400</v>
      </c>
      <c r="B125" s="124" t="s">
        <v>129</v>
      </c>
      <c r="C125" s="408">
        <v>8441</v>
      </c>
      <c r="D125" s="412">
        <v>0</v>
      </c>
      <c r="E125" s="420">
        <v>0</v>
      </c>
      <c r="F125" s="155">
        <v>0</v>
      </c>
      <c r="G125" s="419">
        <v>0</v>
      </c>
      <c r="H125" s="269">
        <v>3610</v>
      </c>
      <c r="I125" s="15">
        <v>3642</v>
      </c>
      <c r="J125" s="331">
        <v>0.99121361889071935</v>
      </c>
      <c r="K125" s="427">
        <v>0.99163182243883519</v>
      </c>
      <c r="L125" s="434">
        <v>0.55592959099999995</v>
      </c>
      <c r="M125" s="14">
        <f>Lisäosat[[#This Row],[HYTE-kerroin (sis. Kulttuurihyte)]]*Lisäosat[[#This Row],[Asukasmäärä 31.12.2023]]</f>
        <v>4692.6016776309998</v>
      </c>
      <c r="N125" s="427">
        <f>Lisäosat[[#This Row],[HYTE-kerroin (sis. Kulttuurihyte)]]/$N$7</f>
        <v>0.82319583433399013</v>
      </c>
      <c r="O125" s="439">
        <v>0</v>
      </c>
      <c r="P125" s="197">
        <v>0</v>
      </c>
      <c r="Q125" s="159">
        <v>0</v>
      </c>
      <c r="R125" s="159">
        <v>113083.62052041588</v>
      </c>
      <c r="S125" s="159">
        <v>138346.54710887902</v>
      </c>
      <c r="T125" s="159">
        <v>0</v>
      </c>
      <c r="U125" s="309">
        <f t="shared" si="2"/>
        <v>251430.16762929491</v>
      </c>
      <c r="V125" s="44"/>
      <c r="W125" s="44"/>
      <c r="X125" s="110"/>
      <c r="Y125" s="110"/>
      <c r="Z125" s="111"/>
    </row>
    <row r="126" spans="1:26" s="45" customFormat="1">
      <c r="A126" s="127">
        <v>402</v>
      </c>
      <c r="B126" s="124" t="s">
        <v>130</v>
      </c>
      <c r="C126" s="408">
        <v>8975</v>
      </c>
      <c r="D126" s="412">
        <v>0.42025000000000001</v>
      </c>
      <c r="E126" s="420">
        <v>0</v>
      </c>
      <c r="F126" s="155">
        <v>0</v>
      </c>
      <c r="G126" s="419">
        <v>0</v>
      </c>
      <c r="H126" s="269">
        <v>2763</v>
      </c>
      <c r="I126" s="15">
        <v>3555</v>
      </c>
      <c r="J126" s="331">
        <v>0.77721518987341776</v>
      </c>
      <c r="K126" s="427">
        <v>0.77754310521261416</v>
      </c>
      <c r="L126" s="434">
        <v>0.63645016499999996</v>
      </c>
      <c r="M126" s="14">
        <f>Lisäosat[[#This Row],[HYTE-kerroin (sis. Kulttuurihyte)]]*Lisäosat[[#This Row],[Asukasmäärä 31.12.2023]]</f>
        <v>5712.1402308749994</v>
      </c>
      <c r="N126" s="427">
        <f>Lisäosat[[#This Row],[HYTE-kerroin (sis. Kulttuurihyte)]]/$N$7</f>
        <v>0.94242712219501312</v>
      </c>
      <c r="O126" s="439">
        <v>0</v>
      </c>
      <c r="P126" s="197">
        <v>243390.62418750001</v>
      </c>
      <c r="Q126" s="159">
        <v>0</v>
      </c>
      <c r="R126" s="159">
        <v>94278.850979016192</v>
      </c>
      <c r="S126" s="159">
        <v>168404.4229260518</v>
      </c>
      <c r="T126" s="159">
        <v>0</v>
      </c>
      <c r="U126" s="309">
        <f t="shared" si="2"/>
        <v>506073.89809256804</v>
      </c>
      <c r="V126" s="44"/>
      <c r="W126" s="44"/>
      <c r="X126" s="110"/>
      <c r="Y126" s="110"/>
      <c r="Z126" s="111"/>
    </row>
    <row r="127" spans="1:26" s="45" customFormat="1">
      <c r="A127" s="127">
        <v>403</v>
      </c>
      <c r="B127" s="124" t="s">
        <v>131</v>
      </c>
      <c r="C127" s="408">
        <v>2789</v>
      </c>
      <c r="D127" s="412">
        <v>0.9875166666666666</v>
      </c>
      <c r="E127" s="420">
        <v>0</v>
      </c>
      <c r="F127" s="155">
        <v>0</v>
      </c>
      <c r="G127" s="419">
        <v>0</v>
      </c>
      <c r="H127" s="269">
        <v>814</v>
      </c>
      <c r="I127" s="15">
        <v>973</v>
      </c>
      <c r="J127" s="331">
        <v>0.83658787255909561</v>
      </c>
      <c r="K127" s="427">
        <v>0.83694083786339246</v>
      </c>
      <c r="L127" s="434">
        <v>0.65336611899999997</v>
      </c>
      <c r="M127" s="14">
        <f>Lisäosat[[#This Row],[HYTE-kerroin (sis. Kulttuurihyte)]]*Lisäosat[[#This Row],[Asukasmäärä 31.12.2023]]</f>
        <v>1822.2381058909998</v>
      </c>
      <c r="N127" s="427">
        <f>Lisäosat[[#This Row],[HYTE-kerroin (sis. Kulttuurihyte)]]/$N$7</f>
        <v>0.96747551517862285</v>
      </c>
      <c r="O127" s="439">
        <v>0</v>
      </c>
      <c r="P127" s="197">
        <v>177727.49244450001</v>
      </c>
      <c r="Q127" s="159">
        <v>0</v>
      </c>
      <c r="R127" s="159">
        <v>31535.420236781531</v>
      </c>
      <c r="S127" s="159">
        <v>53722.9382075986</v>
      </c>
      <c r="T127" s="159">
        <v>0</v>
      </c>
      <c r="U127" s="309">
        <f t="shared" si="2"/>
        <v>262985.85088888014</v>
      </c>
      <c r="V127" s="44"/>
      <c r="W127" s="44"/>
      <c r="X127" s="110"/>
      <c r="Y127" s="110"/>
      <c r="Z127" s="111"/>
    </row>
    <row r="128" spans="1:26" s="45" customFormat="1">
      <c r="A128" s="127">
        <v>405</v>
      </c>
      <c r="B128" s="124" t="s">
        <v>132</v>
      </c>
      <c r="C128" s="408">
        <v>72988</v>
      </c>
      <c r="D128" s="412">
        <v>0</v>
      </c>
      <c r="E128" s="420">
        <v>0</v>
      </c>
      <c r="F128" s="155">
        <v>2</v>
      </c>
      <c r="G128" s="419">
        <v>2.7401764673644982E-5</v>
      </c>
      <c r="H128" s="269">
        <v>31746</v>
      </c>
      <c r="I128" s="15">
        <v>29602</v>
      </c>
      <c r="J128" s="331">
        <v>1.072427538679819</v>
      </c>
      <c r="K128" s="427">
        <v>1.0728800072428266</v>
      </c>
      <c r="L128" s="434">
        <v>0.73969795000000005</v>
      </c>
      <c r="M128" s="14">
        <f>Lisäosat[[#This Row],[HYTE-kerroin (sis. Kulttuurihyte)]]*Lisäosat[[#This Row],[Asukasmäärä 31.12.2023]]</f>
        <v>53989.073974600004</v>
      </c>
      <c r="N128" s="427">
        <f>Lisäosat[[#This Row],[HYTE-kerroin (sis. Kulttuurihyte)]]/$N$7</f>
        <v>1.0953118541685833</v>
      </c>
      <c r="O128" s="439">
        <v>0.14957932951152886</v>
      </c>
      <c r="P128" s="197">
        <v>0</v>
      </c>
      <c r="Q128" s="159">
        <v>0</v>
      </c>
      <c r="R128" s="159">
        <v>1057932.5142363186</v>
      </c>
      <c r="S128" s="159">
        <v>1591697.4162960462</v>
      </c>
      <c r="T128" s="159">
        <v>115288.75884121166</v>
      </c>
      <c r="U128" s="309">
        <f t="shared" si="2"/>
        <v>2764918.6893735765</v>
      </c>
      <c r="V128" s="44"/>
      <c r="W128" s="44"/>
      <c r="X128" s="110"/>
      <c r="Y128" s="110"/>
      <c r="Z128" s="111"/>
    </row>
    <row r="129" spans="1:26" s="45" customFormat="1">
      <c r="A129" s="127">
        <v>407</v>
      </c>
      <c r="B129" s="124" t="s">
        <v>133</v>
      </c>
      <c r="C129" s="408">
        <v>2449</v>
      </c>
      <c r="D129" s="412">
        <v>0.19713333333333333</v>
      </c>
      <c r="E129" s="420">
        <v>0</v>
      </c>
      <c r="F129" s="155">
        <v>0</v>
      </c>
      <c r="G129" s="419">
        <v>0</v>
      </c>
      <c r="H129" s="269">
        <v>786</v>
      </c>
      <c r="I129" s="15">
        <v>1026</v>
      </c>
      <c r="J129" s="331">
        <v>0.76608187134502925</v>
      </c>
      <c r="K129" s="427">
        <v>0.76640508941895191</v>
      </c>
      <c r="L129" s="434">
        <v>0.57666984399999999</v>
      </c>
      <c r="M129" s="14">
        <f>Lisäosat[[#This Row],[HYTE-kerroin (sis. Kulttuurihyte)]]*Lisäosat[[#This Row],[Asukasmäärä 31.12.2023]]</f>
        <v>1412.2644479559999</v>
      </c>
      <c r="N129" s="427">
        <f>Lisäosat[[#This Row],[HYTE-kerroin (sis. Kulttuurihyte)]]/$N$7</f>
        <v>0.85390707933521737</v>
      </c>
      <c r="O129" s="439">
        <v>0</v>
      </c>
      <c r="P129" s="197">
        <v>31153.763285999998</v>
      </c>
      <c r="Q129" s="159">
        <v>0</v>
      </c>
      <c r="R129" s="159">
        <v>25357.271124464551</v>
      </c>
      <c r="S129" s="159">
        <v>41636.159086482672</v>
      </c>
      <c r="T129" s="159">
        <v>0</v>
      </c>
      <c r="U129" s="309">
        <f t="shared" si="2"/>
        <v>98147.19349694722</v>
      </c>
      <c r="V129" s="44"/>
      <c r="W129" s="44"/>
      <c r="X129" s="110"/>
      <c r="Y129" s="110"/>
      <c r="Z129" s="111"/>
    </row>
    <row r="130" spans="1:26" s="45" customFormat="1">
      <c r="A130" s="127">
        <v>408</v>
      </c>
      <c r="B130" s="124" t="s">
        <v>134</v>
      </c>
      <c r="C130" s="408">
        <v>14024</v>
      </c>
      <c r="D130" s="412">
        <v>0</v>
      </c>
      <c r="E130" s="420">
        <v>0</v>
      </c>
      <c r="F130" s="155">
        <v>0</v>
      </c>
      <c r="G130" s="419">
        <v>0</v>
      </c>
      <c r="H130" s="269">
        <v>4588</v>
      </c>
      <c r="I130" s="15">
        <v>5916</v>
      </c>
      <c r="J130" s="331">
        <v>0.77552400270453004</v>
      </c>
      <c r="K130" s="427">
        <v>0.77585120451390688</v>
      </c>
      <c r="L130" s="434">
        <v>0.67112061499999998</v>
      </c>
      <c r="M130" s="14">
        <f>Lisäosat[[#This Row],[HYTE-kerroin (sis. Kulttuurihyte)]]*Lisäosat[[#This Row],[Asukasmäärä 31.12.2023]]</f>
        <v>9411.7955047599989</v>
      </c>
      <c r="N130" s="427">
        <f>Lisäosat[[#This Row],[HYTE-kerroin (sis. Kulttuurihyte)]]/$N$7</f>
        <v>0.99376558389327685</v>
      </c>
      <c r="O130" s="439">
        <v>0</v>
      </c>
      <c r="P130" s="197">
        <v>0</v>
      </c>
      <c r="Q130" s="159">
        <v>0</v>
      </c>
      <c r="R130" s="159">
        <v>146996.05881631194</v>
      </c>
      <c r="S130" s="159">
        <v>277477.07980101957</v>
      </c>
      <c r="T130" s="159">
        <v>0</v>
      </c>
      <c r="U130" s="309">
        <f t="shared" si="2"/>
        <v>424473.13861733151</v>
      </c>
      <c r="V130" s="44"/>
      <c r="W130" s="44"/>
      <c r="X130" s="110"/>
      <c r="Y130" s="110"/>
      <c r="Z130" s="111"/>
    </row>
    <row r="131" spans="1:26" s="45" customFormat="1">
      <c r="A131" s="127">
        <v>410</v>
      </c>
      <c r="B131" s="124" t="s">
        <v>135</v>
      </c>
      <c r="C131" s="408">
        <v>18762</v>
      </c>
      <c r="D131" s="412">
        <v>0</v>
      </c>
      <c r="E131" s="420">
        <v>0</v>
      </c>
      <c r="F131" s="155">
        <v>2</v>
      </c>
      <c r="G131" s="419">
        <v>1.0659844366272253E-4</v>
      </c>
      <c r="H131" s="269">
        <v>5412</v>
      </c>
      <c r="I131" s="15">
        <v>7705</v>
      </c>
      <c r="J131" s="331">
        <v>0.70240103828682676</v>
      </c>
      <c r="K131" s="427">
        <v>0.7026973887412733</v>
      </c>
      <c r="L131" s="434">
        <v>0.61612453199999995</v>
      </c>
      <c r="M131" s="14">
        <f>Lisäosat[[#This Row],[HYTE-kerroin (sis. Kulttuurihyte)]]*Lisäosat[[#This Row],[Asukasmäärä 31.12.2023]]</f>
        <v>11559.728469383999</v>
      </c>
      <c r="N131" s="427">
        <f>Lisäosat[[#This Row],[HYTE-kerroin (sis. Kulttuurihyte)]]/$N$7</f>
        <v>0.91232982806518603</v>
      </c>
      <c r="O131" s="439">
        <v>0</v>
      </c>
      <c r="P131" s="197">
        <v>0</v>
      </c>
      <c r="Q131" s="159">
        <v>0</v>
      </c>
      <c r="R131" s="159">
        <v>178115.95358618652</v>
      </c>
      <c r="S131" s="159">
        <v>340802.10278210609</v>
      </c>
      <c r="T131" s="159">
        <v>0</v>
      </c>
      <c r="U131" s="309">
        <f t="shared" si="2"/>
        <v>518918.0563682926</v>
      </c>
      <c r="V131" s="44"/>
      <c r="W131" s="44"/>
      <c r="X131" s="110"/>
      <c r="Y131" s="110"/>
      <c r="Z131" s="111"/>
    </row>
    <row r="132" spans="1:26" s="45" customFormat="1">
      <c r="A132" s="127">
        <v>416</v>
      </c>
      <c r="B132" s="124" t="s">
        <v>136</v>
      </c>
      <c r="C132" s="408">
        <v>2862</v>
      </c>
      <c r="D132" s="412">
        <v>0</v>
      </c>
      <c r="E132" s="420">
        <v>0</v>
      </c>
      <c r="F132" s="155">
        <v>0</v>
      </c>
      <c r="G132" s="419">
        <v>0</v>
      </c>
      <c r="H132" s="269">
        <v>466</v>
      </c>
      <c r="I132" s="15">
        <v>1198</v>
      </c>
      <c r="J132" s="331">
        <v>0.38898163606010017</v>
      </c>
      <c r="K132" s="427">
        <v>0.38914575154161896</v>
      </c>
      <c r="L132" s="434">
        <v>0.62280496399999996</v>
      </c>
      <c r="M132" s="14">
        <f>Lisäosat[[#This Row],[HYTE-kerroin (sis. Kulttuurihyte)]]*Lisäosat[[#This Row],[Asukasmäärä 31.12.2023]]</f>
        <v>1782.4678069679999</v>
      </c>
      <c r="N132" s="427">
        <f>Lisäosat[[#This Row],[HYTE-kerroin (sis. Kulttuurihyte)]]/$N$7</f>
        <v>0.92222191491031946</v>
      </c>
      <c r="O132" s="439">
        <v>0</v>
      </c>
      <c r="P132" s="197">
        <v>0</v>
      </c>
      <c r="Q132" s="159">
        <v>0</v>
      </c>
      <c r="R132" s="159">
        <v>15046.561753722652</v>
      </c>
      <c r="S132" s="159">
        <v>52550.436488624087</v>
      </c>
      <c r="T132" s="159">
        <v>0</v>
      </c>
      <c r="U132" s="309">
        <f t="shared" si="2"/>
        <v>67596.998242346745</v>
      </c>
      <c r="V132" s="44"/>
      <c r="W132" s="44"/>
      <c r="X132" s="110"/>
      <c r="Y132" s="110"/>
      <c r="Z132" s="111"/>
    </row>
    <row r="133" spans="1:26" s="45" customFormat="1">
      <c r="A133" s="127">
        <v>418</v>
      </c>
      <c r="B133" s="124" t="s">
        <v>137</v>
      </c>
      <c r="C133" s="408">
        <v>24711</v>
      </c>
      <c r="D133" s="412">
        <v>0</v>
      </c>
      <c r="E133" s="420">
        <v>0</v>
      </c>
      <c r="F133" s="155">
        <v>0</v>
      </c>
      <c r="G133" s="419">
        <v>0</v>
      </c>
      <c r="H133" s="269">
        <v>8048</v>
      </c>
      <c r="I133" s="15">
        <v>11416</v>
      </c>
      <c r="J133" s="331">
        <v>0.70497547302032237</v>
      </c>
      <c r="K133" s="427">
        <v>0.705272909656112</v>
      </c>
      <c r="L133" s="434">
        <v>0.74142048999999999</v>
      </c>
      <c r="M133" s="14">
        <f>Lisäosat[[#This Row],[HYTE-kerroin (sis. Kulttuurihyte)]]*Lisäosat[[#This Row],[Asukasmäärä 31.12.2023]]</f>
        <v>18321.241728389999</v>
      </c>
      <c r="N133" s="427">
        <f>Lisäosat[[#This Row],[HYTE-kerroin (sis. Kulttuurihyte)]]/$N$7</f>
        <v>1.0978625148555292</v>
      </c>
      <c r="O133" s="439">
        <v>1.2215428851238681</v>
      </c>
      <c r="P133" s="197">
        <v>0</v>
      </c>
      <c r="Q133" s="159">
        <v>0</v>
      </c>
      <c r="R133" s="159">
        <v>235452.2647406196</v>
      </c>
      <c r="S133" s="159">
        <v>540143.97683748615</v>
      </c>
      <c r="T133" s="159">
        <v>318759.36823416478</v>
      </c>
      <c r="U133" s="309">
        <f t="shared" si="2"/>
        <v>1094355.6098122704</v>
      </c>
      <c r="V133" s="44"/>
      <c r="W133" s="44"/>
      <c r="X133" s="110"/>
      <c r="Y133" s="110"/>
      <c r="Z133" s="111"/>
    </row>
    <row r="134" spans="1:26" s="45" customFormat="1">
      <c r="A134" s="127">
        <v>420</v>
      </c>
      <c r="B134" s="124" t="s">
        <v>138</v>
      </c>
      <c r="C134" s="408">
        <v>9049</v>
      </c>
      <c r="D134" s="412">
        <v>0</v>
      </c>
      <c r="E134" s="420">
        <v>0</v>
      </c>
      <c r="F134" s="155">
        <v>0</v>
      </c>
      <c r="G134" s="419">
        <v>0</v>
      </c>
      <c r="H134" s="269">
        <v>2863</v>
      </c>
      <c r="I134" s="15">
        <v>3562</v>
      </c>
      <c r="J134" s="331">
        <v>0.80376193149915776</v>
      </c>
      <c r="K134" s="427">
        <v>0.80410104719045505</v>
      </c>
      <c r="L134" s="434">
        <v>0.656316173</v>
      </c>
      <c r="M134" s="14">
        <f>Lisäosat[[#This Row],[HYTE-kerroin (sis. Kulttuurihyte)]]*Lisäosat[[#This Row],[Asukasmäärä 31.12.2023]]</f>
        <v>5939.0050494770003</v>
      </c>
      <c r="N134" s="427">
        <f>Lisäosat[[#This Row],[HYTE-kerroin (sis. Kulttuurihyte)]]/$N$7</f>
        <v>0.97184382404934166</v>
      </c>
      <c r="O134" s="439">
        <v>0</v>
      </c>
      <c r="P134" s="197">
        <v>0</v>
      </c>
      <c r="Q134" s="159">
        <v>0</v>
      </c>
      <c r="R134" s="159">
        <v>98302.953180117038</v>
      </c>
      <c r="S134" s="159">
        <v>175092.81594770582</v>
      </c>
      <c r="T134" s="159">
        <v>0</v>
      </c>
      <c r="U134" s="309">
        <f t="shared" si="2"/>
        <v>273395.76912782283</v>
      </c>
      <c r="V134" s="44"/>
      <c r="W134" s="44"/>
      <c r="X134" s="110"/>
      <c r="Y134" s="110"/>
      <c r="Z134" s="111"/>
    </row>
    <row r="135" spans="1:26" s="45" customFormat="1">
      <c r="A135" s="127">
        <v>421</v>
      </c>
      <c r="B135" s="124" t="s">
        <v>139</v>
      </c>
      <c r="C135" s="408">
        <v>682</v>
      </c>
      <c r="D135" s="412">
        <v>1.5782666666666665</v>
      </c>
      <c r="E135" s="420">
        <v>0</v>
      </c>
      <c r="F135" s="155">
        <v>0</v>
      </c>
      <c r="G135" s="419">
        <v>0</v>
      </c>
      <c r="H135" s="269">
        <v>246</v>
      </c>
      <c r="I135" s="15">
        <v>244</v>
      </c>
      <c r="J135" s="331">
        <v>1.0081967213114753</v>
      </c>
      <c r="K135" s="427">
        <v>1.0086220902107879</v>
      </c>
      <c r="L135" s="434">
        <v>0.38715194600000002</v>
      </c>
      <c r="M135" s="14">
        <f>Lisäosat[[#This Row],[HYTE-kerroin (sis. Kulttuurihyte)]]*Lisäosat[[#This Row],[Asukasmäärä 31.12.2023]]</f>
        <v>264.03762717200004</v>
      </c>
      <c r="N135" s="427">
        <f>Lisäosat[[#This Row],[HYTE-kerroin (sis. Kulttuurihyte)]]/$N$7</f>
        <v>0.57327739764350472</v>
      </c>
      <c r="O135" s="439">
        <v>0</v>
      </c>
      <c r="P135" s="197">
        <v>208375.99120799996</v>
      </c>
      <c r="Q135" s="159">
        <v>0</v>
      </c>
      <c r="R135" s="159">
        <v>9293.262387225961</v>
      </c>
      <c r="S135" s="159">
        <v>7784.3159371900465</v>
      </c>
      <c r="T135" s="159">
        <v>0</v>
      </c>
      <c r="U135" s="309">
        <f t="shared" si="2"/>
        <v>225453.56953241598</v>
      </c>
      <c r="V135" s="44"/>
      <c r="W135" s="44"/>
      <c r="X135" s="110"/>
      <c r="Y135" s="110"/>
      <c r="Z135" s="111"/>
    </row>
    <row r="136" spans="1:26" s="45" customFormat="1">
      <c r="A136" s="127">
        <v>422</v>
      </c>
      <c r="B136" s="124" t="s">
        <v>140</v>
      </c>
      <c r="C136" s="408">
        <v>10228</v>
      </c>
      <c r="D136" s="412">
        <v>1.20475</v>
      </c>
      <c r="E136" s="420">
        <v>0</v>
      </c>
      <c r="F136" s="155">
        <v>0</v>
      </c>
      <c r="G136" s="419">
        <v>0</v>
      </c>
      <c r="H136" s="269">
        <v>3257</v>
      </c>
      <c r="I136" s="15">
        <v>3240</v>
      </c>
      <c r="J136" s="331">
        <v>1.0052469135802469</v>
      </c>
      <c r="K136" s="427">
        <v>1.0056710379243639</v>
      </c>
      <c r="L136" s="434">
        <v>0.58640541999999996</v>
      </c>
      <c r="M136" s="14">
        <f>Lisäosat[[#This Row],[HYTE-kerroin (sis. Kulttuurihyte)]]*Lisäosat[[#This Row],[Asukasmäärä 31.12.2023]]</f>
        <v>5997.7546357599995</v>
      </c>
      <c r="N136" s="427">
        <f>Lisäosat[[#This Row],[HYTE-kerroin (sis. Kulttuurihyte)]]/$N$7</f>
        <v>0.86832308765315191</v>
      </c>
      <c r="O136" s="439">
        <v>0</v>
      </c>
      <c r="P136" s="197">
        <v>1192725.7034849999</v>
      </c>
      <c r="Q136" s="159">
        <v>0</v>
      </c>
      <c r="R136" s="159">
        <v>138963.90560827922</v>
      </c>
      <c r="S136" s="159">
        <v>176824.8620416823</v>
      </c>
      <c r="T136" s="159">
        <v>0</v>
      </c>
      <c r="U136" s="309">
        <f t="shared" si="2"/>
        <v>1508514.4711349613</v>
      </c>
      <c r="V136" s="44"/>
      <c r="W136" s="44"/>
      <c r="X136" s="110"/>
      <c r="Y136" s="110"/>
      <c r="Z136" s="111"/>
    </row>
    <row r="137" spans="1:26" s="45" customFormat="1">
      <c r="A137" s="127">
        <v>423</v>
      </c>
      <c r="B137" s="124" t="s">
        <v>141</v>
      </c>
      <c r="C137" s="408">
        <v>20637</v>
      </c>
      <c r="D137" s="412">
        <v>0</v>
      </c>
      <c r="E137" s="420">
        <v>0</v>
      </c>
      <c r="F137" s="155">
        <v>2</v>
      </c>
      <c r="G137" s="419">
        <v>9.6913311043271799E-5</v>
      </c>
      <c r="H137" s="269">
        <v>7002</v>
      </c>
      <c r="I137" s="15">
        <v>9688</v>
      </c>
      <c r="J137" s="331">
        <v>0.72274979355904212</v>
      </c>
      <c r="K137" s="427">
        <v>0.72305472936935178</v>
      </c>
      <c r="L137" s="434">
        <v>0.67139976700000004</v>
      </c>
      <c r="M137" s="14">
        <f>Lisäosat[[#This Row],[HYTE-kerroin (sis. Kulttuurihyte)]]*Lisäosat[[#This Row],[Asukasmäärä 31.12.2023]]</f>
        <v>13855.676991579001</v>
      </c>
      <c r="N137" s="427">
        <f>Lisäosat[[#This Row],[HYTE-kerroin (sis. Kulttuurihyte)]]/$N$7</f>
        <v>0.9941789397701114</v>
      </c>
      <c r="O137" s="439">
        <v>0.8060003553533498</v>
      </c>
      <c r="P137" s="197">
        <v>0</v>
      </c>
      <c r="Q137" s="159">
        <v>0</v>
      </c>
      <c r="R137" s="159">
        <v>201591.90287943667</v>
      </c>
      <c r="S137" s="159">
        <v>408490.89723051252</v>
      </c>
      <c r="T137" s="159">
        <v>175649.01376098997</v>
      </c>
      <c r="U137" s="309">
        <f t="shared" ref="U137:U200" si="3">SUM(P137:T137)</f>
        <v>785731.81387093919</v>
      </c>
      <c r="V137" s="44"/>
      <c r="W137" s="44"/>
      <c r="X137" s="110"/>
      <c r="Y137" s="110"/>
      <c r="Z137" s="111"/>
    </row>
    <row r="138" spans="1:26" s="45" customFormat="1">
      <c r="A138" s="127">
        <v>425</v>
      </c>
      <c r="B138" s="124" t="s">
        <v>142</v>
      </c>
      <c r="C138" s="408">
        <v>10256</v>
      </c>
      <c r="D138" s="412">
        <v>0</v>
      </c>
      <c r="E138" s="420">
        <v>0</v>
      </c>
      <c r="F138" s="155">
        <v>6</v>
      </c>
      <c r="G138" s="419">
        <v>5.8502340093603746E-4</v>
      </c>
      <c r="H138" s="269">
        <v>2625</v>
      </c>
      <c r="I138" s="15">
        <v>4272</v>
      </c>
      <c r="J138" s="331">
        <v>0.6144662921348315</v>
      </c>
      <c r="K138" s="427">
        <v>0.61472554198639828</v>
      </c>
      <c r="L138" s="434">
        <v>0.75045514300000005</v>
      </c>
      <c r="M138" s="14">
        <f>Lisäosat[[#This Row],[HYTE-kerroin (sis. Kulttuurihyte)]]*Lisäosat[[#This Row],[Asukasmäärä 31.12.2023]]</f>
        <v>7696.6679466080004</v>
      </c>
      <c r="N138" s="427">
        <f>Lisäosat[[#This Row],[HYTE-kerroin (sis. Kulttuurihyte)]]/$N$7</f>
        <v>1.1112406275422007</v>
      </c>
      <c r="O138" s="439">
        <v>5.8872802642632539E-2</v>
      </c>
      <c r="P138" s="197">
        <v>0</v>
      </c>
      <c r="Q138" s="159">
        <v>0</v>
      </c>
      <c r="R138" s="159">
        <v>85175.485892854878</v>
      </c>
      <c r="S138" s="159">
        <v>226911.95797260967</v>
      </c>
      <c r="T138" s="159">
        <v>6376.1223388139833</v>
      </c>
      <c r="U138" s="309">
        <f t="shared" si="3"/>
        <v>318463.5662042785</v>
      </c>
      <c r="V138" s="44"/>
      <c r="W138" s="44"/>
      <c r="X138" s="110"/>
      <c r="Y138" s="110"/>
      <c r="Z138" s="111"/>
    </row>
    <row r="139" spans="1:26" s="45" customFormat="1">
      <c r="A139" s="127">
        <v>426</v>
      </c>
      <c r="B139" s="124" t="s">
        <v>143</v>
      </c>
      <c r="C139" s="408">
        <v>11969</v>
      </c>
      <c r="D139" s="412">
        <v>0</v>
      </c>
      <c r="E139" s="420">
        <v>0</v>
      </c>
      <c r="F139" s="155">
        <v>0</v>
      </c>
      <c r="G139" s="419">
        <v>0</v>
      </c>
      <c r="H139" s="269">
        <v>3369</v>
      </c>
      <c r="I139" s="15">
        <v>5004</v>
      </c>
      <c r="J139" s="331">
        <v>0.6732613908872902</v>
      </c>
      <c r="K139" s="427">
        <v>0.67354544701516461</v>
      </c>
      <c r="L139" s="434">
        <v>0.66019825300000001</v>
      </c>
      <c r="M139" s="14">
        <f>Lisäosat[[#This Row],[HYTE-kerroin (sis. Kulttuurihyte)]]*Lisäosat[[#This Row],[Asukasmäärä 31.12.2023]]</f>
        <v>7901.9128901570002</v>
      </c>
      <c r="N139" s="427">
        <f>Lisäosat[[#This Row],[HYTE-kerroin (sis. Kulttuurihyte)]]/$N$7</f>
        <v>0.97759223560412667</v>
      </c>
      <c r="O139" s="439">
        <v>0</v>
      </c>
      <c r="P139" s="197">
        <v>0</v>
      </c>
      <c r="Q139" s="159">
        <v>0</v>
      </c>
      <c r="R139" s="159">
        <v>108913.10030143407</v>
      </c>
      <c r="S139" s="159">
        <v>232962.95722680073</v>
      </c>
      <c r="T139" s="159">
        <v>0</v>
      </c>
      <c r="U139" s="309">
        <f t="shared" si="3"/>
        <v>341876.05752823479</v>
      </c>
      <c r="V139" s="44"/>
      <c r="W139" s="44"/>
      <c r="X139" s="110"/>
      <c r="Y139" s="110"/>
      <c r="Z139" s="111"/>
    </row>
    <row r="140" spans="1:26" s="45" customFormat="1">
      <c r="A140" s="127">
        <v>430</v>
      </c>
      <c r="B140" s="124" t="s">
        <v>144</v>
      </c>
      <c r="C140" s="408">
        <v>15420</v>
      </c>
      <c r="D140" s="412">
        <v>0</v>
      </c>
      <c r="E140" s="420">
        <v>0</v>
      </c>
      <c r="F140" s="155">
        <v>0</v>
      </c>
      <c r="G140" s="419">
        <v>0</v>
      </c>
      <c r="H140" s="269">
        <v>6177</v>
      </c>
      <c r="I140" s="15">
        <v>5983</v>
      </c>
      <c r="J140" s="331">
        <v>1.0324252047467826</v>
      </c>
      <c r="K140" s="427">
        <v>1.0328607959004559</v>
      </c>
      <c r="L140" s="434">
        <v>0.68756144299999999</v>
      </c>
      <c r="M140" s="14">
        <f>Lisäosat[[#This Row],[HYTE-kerroin (sis. Kulttuurihyte)]]*Lisäosat[[#This Row],[Asukasmäärä 31.12.2023]]</f>
        <v>10602.197451059999</v>
      </c>
      <c r="N140" s="427">
        <f>Lisäosat[[#This Row],[HYTE-kerroin (sis. Kulttuurihyte)]]/$N$7</f>
        <v>1.0181104314094107</v>
      </c>
      <c r="O140" s="439">
        <v>0</v>
      </c>
      <c r="P140" s="197">
        <v>0</v>
      </c>
      <c r="Q140" s="159">
        <v>0</v>
      </c>
      <c r="R140" s="159">
        <v>215169.89901732575</v>
      </c>
      <c r="S140" s="159">
        <v>312572.3233899523</v>
      </c>
      <c r="T140" s="159">
        <v>0</v>
      </c>
      <c r="U140" s="309">
        <f t="shared" si="3"/>
        <v>527742.22240727802</v>
      </c>
      <c r="V140" s="44"/>
      <c r="W140" s="44"/>
      <c r="X140" s="110"/>
      <c r="Y140" s="110"/>
      <c r="Z140" s="111"/>
    </row>
    <row r="141" spans="1:26" s="45" customFormat="1">
      <c r="A141" s="127">
        <v>433</v>
      </c>
      <c r="B141" s="124" t="s">
        <v>145</v>
      </c>
      <c r="C141" s="408">
        <v>7692</v>
      </c>
      <c r="D141" s="412">
        <v>0</v>
      </c>
      <c r="E141" s="420">
        <v>0</v>
      </c>
      <c r="F141" s="155">
        <v>0</v>
      </c>
      <c r="G141" s="419">
        <v>0</v>
      </c>
      <c r="H141" s="269">
        <v>1951</v>
      </c>
      <c r="I141" s="15">
        <v>3349</v>
      </c>
      <c r="J141" s="331">
        <v>0.58256195879366979</v>
      </c>
      <c r="K141" s="427">
        <v>0.58280774786831702</v>
      </c>
      <c r="L141" s="434">
        <v>0.56975860899999997</v>
      </c>
      <c r="M141" s="14">
        <f>Lisäosat[[#This Row],[HYTE-kerroin (sis. Kulttuurihyte)]]*Lisäosat[[#This Row],[Asukasmäärä 31.12.2023]]</f>
        <v>4382.5832204279995</v>
      </c>
      <c r="N141" s="427">
        <f>Lisäosat[[#This Row],[HYTE-kerroin (sis. Kulttuurihyte)]]/$N$7</f>
        <v>0.84367322966394975</v>
      </c>
      <c r="O141" s="439">
        <v>0</v>
      </c>
      <c r="P141" s="197">
        <v>0</v>
      </c>
      <c r="Q141" s="159">
        <v>0</v>
      </c>
      <c r="R141" s="159">
        <v>60564.751726107803</v>
      </c>
      <c r="S141" s="159">
        <v>129206.63154807028</v>
      </c>
      <c r="T141" s="159">
        <v>0</v>
      </c>
      <c r="U141" s="309">
        <f t="shared" si="3"/>
        <v>189771.38327417808</v>
      </c>
      <c r="V141" s="44"/>
      <c r="W141" s="44"/>
      <c r="X141" s="110"/>
      <c r="Y141" s="110"/>
      <c r="Z141" s="111"/>
    </row>
    <row r="142" spans="1:26" s="45" customFormat="1">
      <c r="A142" s="127">
        <v>434</v>
      </c>
      <c r="B142" s="124" t="s">
        <v>146</v>
      </c>
      <c r="C142" s="408">
        <v>14458</v>
      </c>
      <c r="D142" s="412">
        <v>0</v>
      </c>
      <c r="E142" s="420">
        <v>0</v>
      </c>
      <c r="F142" s="155">
        <v>0</v>
      </c>
      <c r="G142" s="419">
        <v>0</v>
      </c>
      <c r="H142" s="269">
        <v>4889</v>
      </c>
      <c r="I142" s="15">
        <v>5958</v>
      </c>
      <c r="J142" s="331">
        <v>0.82057737495803962</v>
      </c>
      <c r="K142" s="427">
        <v>0.82092358526343789</v>
      </c>
      <c r="L142" s="434">
        <v>0.56762039799999997</v>
      </c>
      <c r="M142" s="14">
        <f>Lisäosat[[#This Row],[HYTE-kerroin (sis. Kulttuurihyte)]]*Lisäosat[[#This Row],[Asukasmäärä 31.12.2023]]</f>
        <v>8206.6557142839993</v>
      </c>
      <c r="N142" s="427">
        <f>Lisäosat[[#This Row],[HYTE-kerroin (sis. Kulttuurihyte)]]/$N$7</f>
        <v>0.84050706183150725</v>
      </c>
      <c r="O142" s="439">
        <v>0</v>
      </c>
      <c r="P142" s="197">
        <v>0</v>
      </c>
      <c r="Q142" s="159">
        <v>0</v>
      </c>
      <c r="R142" s="159">
        <v>160349.01727443098</v>
      </c>
      <c r="S142" s="159">
        <v>241947.33740020223</v>
      </c>
      <c r="T142" s="159">
        <v>0</v>
      </c>
      <c r="U142" s="309">
        <f t="shared" si="3"/>
        <v>402296.35467463324</v>
      </c>
      <c r="V142" s="44"/>
      <c r="W142" s="44"/>
      <c r="X142" s="110"/>
      <c r="Y142" s="110"/>
      <c r="Z142" s="111"/>
    </row>
    <row r="143" spans="1:26" s="45" customFormat="1">
      <c r="A143" s="127">
        <v>435</v>
      </c>
      <c r="B143" s="124" t="s">
        <v>147</v>
      </c>
      <c r="C143" s="408">
        <v>702</v>
      </c>
      <c r="D143" s="412">
        <v>1.5087833333333334</v>
      </c>
      <c r="E143" s="420">
        <v>0</v>
      </c>
      <c r="F143" s="155">
        <v>0</v>
      </c>
      <c r="G143" s="419">
        <v>0</v>
      </c>
      <c r="H143" s="269">
        <v>161</v>
      </c>
      <c r="I143" s="15">
        <v>247</v>
      </c>
      <c r="J143" s="331">
        <v>0.65182186234817818</v>
      </c>
      <c r="K143" s="427">
        <v>0.65209687291136897</v>
      </c>
      <c r="L143" s="434">
        <v>0.424762523</v>
      </c>
      <c r="M143" s="14">
        <f>Lisäosat[[#This Row],[HYTE-kerroin (sis. Kulttuurihyte)]]*Lisäosat[[#This Row],[Asukasmäärä 31.12.2023]]</f>
        <v>298.18329114599999</v>
      </c>
      <c r="N143" s="427">
        <f>Lisäosat[[#This Row],[HYTE-kerroin (sis. Kulttuurihyte)]]/$N$7</f>
        <v>0.62896946875201631</v>
      </c>
      <c r="O143" s="439">
        <v>0.15087005121880623</v>
      </c>
      <c r="P143" s="197">
        <v>205043.92658100001</v>
      </c>
      <c r="Q143" s="159">
        <v>0</v>
      </c>
      <c r="R143" s="159">
        <v>6184.4997846288816</v>
      </c>
      <c r="S143" s="159">
        <v>8790.9930502425577</v>
      </c>
      <c r="T143" s="159">
        <v>1118.417794091157</v>
      </c>
      <c r="U143" s="309">
        <f t="shared" si="3"/>
        <v>221137.83720996263</v>
      </c>
      <c r="V143" s="44"/>
      <c r="W143" s="44"/>
      <c r="X143" s="110"/>
      <c r="Y143" s="110"/>
      <c r="Z143" s="111"/>
    </row>
    <row r="144" spans="1:26" s="45" customFormat="1">
      <c r="A144" s="127">
        <v>436</v>
      </c>
      <c r="B144" s="124" t="s">
        <v>148</v>
      </c>
      <c r="C144" s="408">
        <v>2033</v>
      </c>
      <c r="D144" s="412">
        <v>6.2333333333333331E-2</v>
      </c>
      <c r="E144" s="420">
        <v>0</v>
      </c>
      <c r="F144" s="155">
        <v>0</v>
      </c>
      <c r="G144" s="419">
        <v>0</v>
      </c>
      <c r="H144" s="269">
        <v>482</v>
      </c>
      <c r="I144" s="15">
        <v>780</v>
      </c>
      <c r="J144" s="331">
        <v>0.61794871794871797</v>
      </c>
      <c r="K144" s="427">
        <v>0.61820943707270359</v>
      </c>
      <c r="L144" s="434">
        <v>0.56448595099999999</v>
      </c>
      <c r="M144" s="14">
        <f>Lisäosat[[#This Row],[HYTE-kerroin (sis. Kulttuurihyte)]]*Lisäosat[[#This Row],[Asukasmäärä 31.12.2023]]</f>
        <v>1147.5999383829999</v>
      </c>
      <c r="N144" s="427">
        <f>Lisäosat[[#This Row],[HYTE-kerroin (sis. Kulttuurihyte)]]/$N$7</f>
        <v>0.83586571200031856</v>
      </c>
      <c r="O144" s="439">
        <v>0</v>
      </c>
      <c r="P144" s="197">
        <v>8177.4782099999993</v>
      </c>
      <c r="Q144" s="159">
        <v>0</v>
      </c>
      <c r="R144" s="159">
        <v>16979.635303034574</v>
      </c>
      <c r="S144" s="159">
        <v>33833.361500608255</v>
      </c>
      <c r="T144" s="159">
        <v>0</v>
      </c>
      <c r="U144" s="309">
        <f t="shared" si="3"/>
        <v>58990.475013642827</v>
      </c>
      <c r="V144" s="44"/>
      <c r="W144" s="44"/>
      <c r="X144" s="110"/>
      <c r="Y144" s="110"/>
      <c r="Z144" s="111"/>
    </row>
    <row r="145" spans="1:26" s="45" customFormat="1">
      <c r="A145" s="127">
        <v>440</v>
      </c>
      <c r="B145" s="124" t="s">
        <v>149</v>
      </c>
      <c r="C145" s="408">
        <v>5843</v>
      </c>
      <c r="D145" s="412">
        <v>0</v>
      </c>
      <c r="E145" s="420">
        <v>0</v>
      </c>
      <c r="F145" s="155">
        <v>0</v>
      </c>
      <c r="G145" s="419">
        <v>0</v>
      </c>
      <c r="H145" s="269">
        <v>1220</v>
      </c>
      <c r="I145" s="15">
        <v>2524</v>
      </c>
      <c r="J145" s="331">
        <v>0.48335974643423135</v>
      </c>
      <c r="K145" s="427">
        <v>0.48356368104239522</v>
      </c>
      <c r="L145" s="434">
        <v>0.70866036499999996</v>
      </c>
      <c r="M145" s="14">
        <f>Lisäosat[[#This Row],[HYTE-kerroin (sis. Kulttuurihyte)]]*Lisäosat[[#This Row],[Asukasmäärä 31.12.2023]]</f>
        <v>4140.7025126949993</v>
      </c>
      <c r="N145" s="427">
        <f>Lisäosat[[#This Row],[HYTE-kerroin (sis. Kulttuurihyte)]]/$N$7</f>
        <v>1.0493527775275502</v>
      </c>
      <c r="O145" s="439">
        <v>1.8277552646167372</v>
      </c>
      <c r="P145" s="197">
        <v>0</v>
      </c>
      <c r="Q145" s="159">
        <v>0</v>
      </c>
      <c r="R145" s="159">
        <v>38171.999568347965</v>
      </c>
      <c r="S145" s="159">
        <v>122075.5424367511</v>
      </c>
      <c r="T145" s="159">
        <v>112776.30155780309</v>
      </c>
      <c r="U145" s="309">
        <f t="shared" si="3"/>
        <v>273023.84356290218</v>
      </c>
      <c r="V145" s="44"/>
      <c r="W145" s="44"/>
      <c r="X145" s="110"/>
      <c r="Y145" s="110"/>
      <c r="Z145" s="111"/>
    </row>
    <row r="146" spans="1:26" s="45" customFormat="1">
      <c r="A146" s="127">
        <v>441</v>
      </c>
      <c r="B146" s="124" t="s">
        <v>150</v>
      </c>
      <c r="C146" s="408">
        <v>4396</v>
      </c>
      <c r="D146" s="412">
        <v>0.6498666666666667</v>
      </c>
      <c r="E146" s="420">
        <v>0</v>
      </c>
      <c r="F146" s="155">
        <v>0</v>
      </c>
      <c r="G146" s="419">
        <v>0</v>
      </c>
      <c r="H146" s="269">
        <v>1172</v>
      </c>
      <c r="I146" s="15">
        <v>1659</v>
      </c>
      <c r="J146" s="331">
        <v>0.70644966847498492</v>
      </c>
      <c r="K146" s="427">
        <v>0.70674772708948641</v>
      </c>
      <c r="L146" s="434">
        <v>0.68107540600000005</v>
      </c>
      <c r="M146" s="14">
        <f>Lisäosat[[#This Row],[HYTE-kerroin (sis. Kulttuurihyte)]]*Lisäosat[[#This Row],[Asukasmäärä 31.12.2023]]</f>
        <v>2994.0074847760002</v>
      </c>
      <c r="N146" s="427">
        <f>Lisäosat[[#This Row],[HYTE-kerroin (sis. Kulttuurihyte)]]/$N$7</f>
        <v>1.0085061960418853</v>
      </c>
      <c r="O146" s="439">
        <v>0</v>
      </c>
      <c r="P146" s="197">
        <v>184350.19881600002</v>
      </c>
      <c r="Q146" s="159">
        <v>0</v>
      </c>
      <c r="R146" s="159">
        <v>41973.719241935512</v>
      </c>
      <c r="S146" s="159">
        <v>88268.859364600547</v>
      </c>
      <c r="T146" s="159">
        <v>0</v>
      </c>
      <c r="U146" s="309">
        <f t="shared" si="3"/>
        <v>314592.77742253611</v>
      </c>
      <c r="V146" s="44"/>
      <c r="W146" s="44"/>
      <c r="X146" s="110"/>
      <c r="Y146" s="110"/>
      <c r="Z146" s="111"/>
    </row>
    <row r="147" spans="1:26" s="45" customFormat="1">
      <c r="A147" s="127">
        <v>444</v>
      </c>
      <c r="B147" s="124" t="s">
        <v>151</v>
      </c>
      <c r="C147" s="408">
        <v>45645</v>
      </c>
      <c r="D147" s="412">
        <v>0</v>
      </c>
      <c r="E147" s="420">
        <v>0</v>
      </c>
      <c r="F147" s="155">
        <v>2</v>
      </c>
      <c r="G147" s="419">
        <v>4.3816409245262348E-5</v>
      </c>
      <c r="H147" s="269">
        <v>15577</v>
      </c>
      <c r="I147" s="15">
        <v>19548</v>
      </c>
      <c r="J147" s="331">
        <v>0.79685901370984247</v>
      </c>
      <c r="K147" s="427">
        <v>0.79719521698684603</v>
      </c>
      <c r="L147" s="434">
        <v>0.60385820099999998</v>
      </c>
      <c r="M147" s="14">
        <f>Lisäosat[[#This Row],[HYTE-kerroin (sis. Kulttuurihyte)]]*Lisäosat[[#This Row],[Asukasmäärä 31.12.2023]]</f>
        <v>27563.107584645</v>
      </c>
      <c r="N147" s="427">
        <f>Lisäosat[[#This Row],[HYTE-kerroin (sis. Kulttuurihyte)]]/$N$7</f>
        <v>0.89416639020321076</v>
      </c>
      <c r="O147" s="439">
        <v>0</v>
      </c>
      <c r="P147" s="197">
        <v>0</v>
      </c>
      <c r="Q147" s="159">
        <v>0</v>
      </c>
      <c r="R147" s="159">
        <v>491601.55142821558</v>
      </c>
      <c r="S147" s="159">
        <v>812611.21737723681</v>
      </c>
      <c r="T147" s="159">
        <v>0</v>
      </c>
      <c r="U147" s="309">
        <f t="shared" si="3"/>
        <v>1304212.7688054524</v>
      </c>
      <c r="V147" s="44"/>
      <c r="W147" s="44"/>
      <c r="X147" s="110"/>
      <c r="Y147" s="110"/>
      <c r="Z147" s="111"/>
    </row>
    <row r="148" spans="1:26" s="45" customFormat="1">
      <c r="A148" s="127">
        <v>445</v>
      </c>
      <c r="B148" s="124" t="s">
        <v>152</v>
      </c>
      <c r="C148" s="408">
        <v>14999</v>
      </c>
      <c r="D148" s="412">
        <v>0</v>
      </c>
      <c r="E148" s="420">
        <v>0</v>
      </c>
      <c r="F148" s="155">
        <v>0</v>
      </c>
      <c r="G148" s="419">
        <v>0</v>
      </c>
      <c r="H148" s="269">
        <v>5088</v>
      </c>
      <c r="I148" s="15">
        <v>6412</v>
      </c>
      <c r="J148" s="331">
        <v>0.793512164691204</v>
      </c>
      <c r="K148" s="427">
        <v>0.79384695589707777</v>
      </c>
      <c r="L148" s="434">
        <v>0.62649842200000005</v>
      </c>
      <c r="M148" s="14">
        <f>Lisäosat[[#This Row],[HYTE-kerroin (sis. Kulttuurihyte)]]*Lisäosat[[#This Row],[Asukasmäärä 31.12.2023]]</f>
        <v>9396.8498315780016</v>
      </c>
      <c r="N148" s="427">
        <f>Lisäosat[[#This Row],[HYTE-kerroin (sis. Kulttuurihyte)]]/$N$7</f>
        <v>0.92769102338935994</v>
      </c>
      <c r="O148" s="439">
        <v>0</v>
      </c>
      <c r="P148" s="197">
        <v>0</v>
      </c>
      <c r="Q148" s="159">
        <v>0</v>
      </c>
      <c r="R148" s="159">
        <v>160862.36074016863</v>
      </c>
      <c r="S148" s="159">
        <v>277036.45380695665</v>
      </c>
      <c r="T148" s="159">
        <v>0</v>
      </c>
      <c r="U148" s="309">
        <f t="shared" si="3"/>
        <v>437898.81454712525</v>
      </c>
      <c r="V148" s="44"/>
      <c r="W148" s="44"/>
      <c r="X148" s="110"/>
      <c r="Y148" s="110"/>
      <c r="Z148" s="111"/>
    </row>
    <row r="149" spans="1:26" s="45" customFormat="1">
      <c r="A149" s="127">
        <v>475</v>
      </c>
      <c r="B149" s="124" t="s">
        <v>153</v>
      </c>
      <c r="C149" s="408">
        <v>5456</v>
      </c>
      <c r="D149" s="412">
        <v>8.0533333333333332E-2</v>
      </c>
      <c r="E149" s="420">
        <v>0</v>
      </c>
      <c r="F149" s="155">
        <v>0</v>
      </c>
      <c r="G149" s="419">
        <v>0</v>
      </c>
      <c r="H149" s="269">
        <v>1779</v>
      </c>
      <c r="I149" s="15">
        <v>2476</v>
      </c>
      <c r="J149" s="331">
        <v>0.71849757673667203</v>
      </c>
      <c r="K149" s="427">
        <v>0.71880071849156457</v>
      </c>
      <c r="L149" s="434">
        <v>0.70287529900000001</v>
      </c>
      <c r="M149" s="14">
        <f>Lisäosat[[#This Row],[HYTE-kerroin (sis. Kulttuurihyte)]]*Lisäosat[[#This Row],[Asukasmäärä 31.12.2023]]</f>
        <v>3834.8876313440001</v>
      </c>
      <c r="N149" s="427">
        <f>Lisäosat[[#This Row],[HYTE-kerroin (sis. Kulttuurihyte)]]/$N$7</f>
        <v>1.0407865088675552</v>
      </c>
      <c r="O149" s="439">
        <v>3.1615161714793061E-2</v>
      </c>
      <c r="P149" s="197">
        <v>28353.828096000001</v>
      </c>
      <c r="Q149" s="159">
        <v>0</v>
      </c>
      <c r="R149" s="159">
        <v>52983.20348841558</v>
      </c>
      <c r="S149" s="159">
        <v>113059.55604031331</v>
      </c>
      <c r="T149" s="159">
        <v>1821.5189236560195</v>
      </c>
      <c r="U149" s="309">
        <f t="shared" si="3"/>
        <v>196218.10654838494</v>
      </c>
      <c r="V149" s="44"/>
      <c r="W149" s="44"/>
      <c r="X149" s="110"/>
      <c r="Y149" s="110"/>
      <c r="Z149" s="111"/>
    </row>
    <row r="150" spans="1:26" s="45" customFormat="1">
      <c r="A150" s="127">
        <v>480</v>
      </c>
      <c r="B150" s="124" t="s">
        <v>154</v>
      </c>
      <c r="C150" s="408">
        <v>1930</v>
      </c>
      <c r="D150" s="412">
        <v>0</v>
      </c>
      <c r="E150" s="420">
        <v>0</v>
      </c>
      <c r="F150" s="155">
        <v>0</v>
      </c>
      <c r="G150" s="419">
        <v>0</v>
      </c>
      <c r="H150" s="269">
        <v>476</v>
      </c>
      <c r="I150" s="15">
        <v>813</v>
      </c>
      <c r="J150" s="331">
        <v>0.58548585485854854</v>
      </c>
      <c r="K150" s="427">
        <v>0.58573287755598435</v>
      </c>
      <c r="L150" s="434">
        <v>0.52605916500000005</v>
      </c>
      <c r="M150" s="14">
        <f>Lisäosat[[#This Row],[HYTE-kerroin (sis. Kulttuurihyte)]]*Lisäosat[[#This Row],[Asukasmäärä 31.12.2023]]</f>
        <v>1015.2941884500001</v>
      </c>
      <c r="N150" s="427">
        <f>Lisäosat[[#This Row],[HYTE-kerroin (sis. Kulttuurihyte)]]/$N$7</f>
        <v>0.77896503487474422</v>
      </c>
      <c r="O150" s="439">
        <v>0</v>
      </c>
      <c r="P150" s="197">
        <v>0</v>
      </c>
      <c r="Q150" s="159">
        <v>0</v>
      </c>
      <c r="R150" s="159">
        <v>15272.574769258004</v>
      </c>
      <c r="S150" s="159">
        <v>29932.744119607385</v>
      </c>
      <c r="T150" s="159">
        <v>0</v>
      </c>
      <c r="U150" s="309">
        <f t="shared" si="3"/>
        <v>45205.318888865389</v>
      </c>
      <c r="V150" s="44"/>
      <c r="W150" s="44"/>
      <c r="X150" s="110"/>
      <c r="Y150" s="110"/>
      <c r="Z150" s="111"/>
    </row>
    <row r="151" spans="1:26" s="45" customFormat="1">
      <c r="A151" s="127">
        <v>481</v>
      </c>
      <c r="B151" s="124" t="s">
        <v>155</v>
      </c>
      <c r="C151" s="408">
        <v>9619</v>
      </c>
      <c r="D151" s="412">
        <v>0</v>
      </c>
      <c r="E151" s="420">
        <v>0</v>
      </c>
      <c r="F151" s="155">
        <v>0</v>
      </c>
      <c r="G151" s="419">
        <v>0</v>
      </c>
      <c r="H151" s="269">
        <v>2460</v>
      </c>
      <c r="I151" s="15">
        <v>4614</v>
      </c>
      <c r="J151" s="331">
        <v>0.53315994798439537</v>
      </c>
      <c r="K151" s="427">
        <v>0.53338489382625121</v>
      </c>
      <c r="L151" s="434">
        <v>0.70780330000000002</v>
      </c>
      <c r="M151" s="14">
        <f>Lisäosat[[#This Row],[HYTE-kerroin (sis. Kulttuurihyte)]]*Lisäosat[[#This Row],[Asukasmäärä 31.12.2023]]</f>
        <v>6808.3599426999999</v>
      </c>
      <c r="N151" s="427">
        <f>Lisäosat[[#This Row],[HYTE-kerroin (sis. Kulttuurihyte)]]/$N$7</f>
        <v>1.0480836737612185</v>
      </c>
      <c r="O151" s="439">
        <v>0.26553773627993787</v>
      </c>
      <c r="P151" s="197">
        <v>0</v>
      </c>
      <c r="Q151" s="159">
        <v>0</v>
      </c>
      <c r="R151" s="159">
        <v>69314.801758085727</v>
      </c>
      <c r="S151" s="159">
        <v>200723.00064097138</v>
      </c>
      <c r="T151" s="159">
        <v>26972.431044522189</v>
      </c>
      <c r="U151" s="309">
        <f t="shared" si="3"/>
        <v>297010.23344357929</v>
      </c>
      <c r="V151" s="44"/>
      <c r="W151" s="44"/>
      <c r="X151" s="110"/>
      <c r="Y151" s="110"/>
      <c r="Z151" s="111"/>
    </row>
    <row r="152" spans="1:26" s="45" customFormat="1">
      <c r="A152" s="127">
        <v>483</v>
      </c>
      <c r="B152" s="124" t="s">
        <v>156</v>
      </c>
      <c r="C152" s="408">
        <v>1055</v>
      </c>
      <c r="D152" s="412">
        <v>0.44555</v>
      </c>
      <c r="E152" s="420">
        <v>0</v>
      </c>
      <c r="F152" s="155">
        <v>0</v>
      </c>
      <c r="G152" s="419">
        <v>0</v>
      </c>
      <c r="H152" s="269">
        <v>269</v>
      </c>
      <c r="I152" s="15">
        <v>387</v>
      </c>
      <c r="J152" s="331">
        <v>0.69509043927648584</v>
      </c>
      <c r="K152" s="427">
        <v>0.69538370531160365</v>
      </c>
      <c r="L152" s="434">
        <v>0.42269958600000002</v>
      </c>
      <c r="M152" s="14">
        <f>Lisäosat[[#This Row],[HYTE-kerroin (sis. Kulttuurihyte)]]*Lisäosat[[#This Row],[Asukasmäärä 31.12.2023]]</f>
        <v>445.94806323</v>
      </c>
      <c r="N152" s="427">
        <f>Lisäosat[[#This Row],[HYTE-kerroin (sis. Kulttuurihyte)]]/$N$7</f>
        <v>0.62591476331379936</v>
      </c>
      <c r="O152" s="439">
        <v>0</v>
      </c>
      <c r="P152" s="197">
        <v>30332.665282500002</v>
      </c>
      <c r="Q152" s="159">
        <v>0</v>
      </c>
      <c r="R152" s="159">
        <v>9911.3387209915527</v>
      </c>
      <c r="S152" s="159">
        <v>13147.370899144522</v>
      </c>
      <c r="T152" s="159">
        <v>0</v>
      </c>
      <c r="U152" s="309">
        <f t="shared" si="3"/>
        <v>53391.374902636082</v>
      </c>
      <c r="V152" s="44"/>
      <c r="W152" s="44"/>
      <c r="X152" s="110"/>
      <c r="Y152" s="110"/>
      <c r="Z152" s="111"/>
    </row>
    <row r="153" spans="1:26" s="45" customFormat="1">
      <c r="A153" s="127">
        <v>484</v>
      </c>
      <c r="B153" s="124" t="s">
        <v>157</v>
      </c>
      <c r="C153" s="408">
        <v>2966</v>
      </c>
      <c r="D153" s="412">
        <v>0.84028333333333327</v>
      </c>
      <c r="E153" s="420">
        <v>0</v>
      </c>
      <c r="F153" s="155">
        <v>0</v>
      </c>
      <c r="G153" s="419">
        <v>0</v>
      </c>
      <c r="H153" s="269">
        <v>927</v>
      </c>
      <c r="I153" s="15">
        <v>1031</v>
      </c>
      <c r="J153" s="331">
        <v>0.8991270611057226</v>
      </c>
      <c r="K153" s="427">
        <v>0.89950641235755691</v>
      </c>
      <c r="L153" s="434">
        <v>0.45776500199999998</v>
      </c>
      <c r="M153" s="14">
        <f>Lisäosat[[#This Row],[HYTE-kerroin (sis. Kulttuurihyte)]]*Lisäosat[[#This Row],[Asukasmäärä 31.12.2023]]</f>
        <v>1357.730995932</v>
      </c>
      <c r="N153" s="427">
        <f>Lisäosat[[#This Row],[HYTE-kerroin (sis. Kulttuurihyte)]]/$N$7</f>
        <v>0.67783807311363409</v>
      </c>
      <c r="O153" s="439">
        <v>0</v>
      </c>
      <c r="P153" s="197">
        <v>160826.85206099998</v>
      </c>
      <c r="Q153" s="159">
        <v>0</v>
      </c>
      <c r="R153" s="159">
        <v>36043.815617399465</v>
      </c>
      <c r="S153" s="159">
        <v>40028.412401863825</v>
      </c>
      <c r="T153" s="159">
        <v>0</v>
      </c>
      <c r="U153" s="309">
        <f t="shared" si="3"/>
        <v>236899.08008026326</v>
      </c>
      <c r="V153" s="44"/>
      <c r="W153" s="44"/>
      <c r="X153" s="110"/>
      <c r="Y153" s="110"/>
      <c r="Z153" s="111"/>
    </row>
    <row r="154" spans="1:26" s="45" customFormat="1">
      <c r="A154" s="127">
        <v>489</v>
      </c>
      <c r="B154" s="124" t="s">
        <v>158</v>
      </c>
      <c r="C154" s="408">
        <v>1752</v>
      </c>
      <c r="D154" s="412">
        <v>1.1574333333333333</v>
      </c>
      <c r="E154" s="420">
        <v>0</v>
      </c>
      <c r="F154" s="155">
        <v>0</v>
      </c>
      <c r="G154" s="419">
        <v>0</v>
      </c>
      <c r="H154" s="269">
        <v>450</v>
      </c>
      <c r="I154" s="15">
        <v>633</v>
      </c>
      <c r="J154" s="331">
        <v>0.7109004739336493</v>
      </c>
      <c r="K154" s="427">
        <v>0.71120041039022164</v>
      </c>
      <c r="L154" s="434">
        <v>0.47244665800000002</v>
      </c>
      <c r="M154" s="14">
        <f>Lisäosat[[#This Row],[HYTE-kerroin (sis. Kulttuurihyte)]]*Lisäosat[[#This Row],[Asukasmäärä 31.12.2023]]</f>
        <v>827.726544816</v>
      </c>
      <c r="N154" s="427">
        <f>Lisäosat[[#This Row],[HYTE-kerroin (sis. Kulttuurihyte)]]/$N$7</f>
        <v>0.69957801690504962</v>
      </c>
      <c r="O154" s="439">
        <v>0</v>
      </c>
      <c r="P154" s="197">
        <v>196283.14664399999</v>
      </c>
      <c r="Q154" s="159">
        <v>0</v>
      </c>
      <c r="R154" s="159">
        <v>16833.77233773956</v>
      </c>
      <c r="S154" s="159">
        <v>24402.904250647352</v>
      </c>
      <c r="T154" s="159">
        <v>0</v>
      </c>
      <c r="U154" s="309">
        <f t="shared" si="3"/>
        <v>237519.8232323869</v>
      </c>
      <c r="V154" s="44"/>
      <c r="W154" s="44"/>
      <c r="X154" s="110"/>
      <c r="Y154" s="110"/>
      <c r="Z154" s="111"/>
    </row>
    <row r="155" spans="1:26" s="45" customFormat="1">
      <c r="A155" s="127">
        <v>491</v>
      </c>
      <c r="B155" s="124" t="s">
        <v>159</v>
      </c>
      <c r="C155" s="408">
        <v>51919</v>
      </c>
      <c r="D155" s="412">
        <v>0</v>
      </c>
      <c r="E155" s="420">
        <v>0</v>
      </c>
      <c r="F155" s="155">
        <v>0</v>
      </c>
      <c r="G155" s="419">
        <v>0</v>
      </c>
      <c r="H155" s="269">
        <v>21966</v>
      </c>
      <c r="I155" s="15">
        <v>21256</v>
      </c>
      <c r="J155" s="331">
        <v>1.0334023334587881</v>
      </c>
      <c r="K155" s="427">
        <v>1.0338383368734378</v>
      </c>
      <c r="L155" s="434">
        <v>0.71873453399999998</v>
      </c>
      <c r="M155" s="14">
        <f>Lisäosat[[#This Row],[HYTE-kerroin (sis. Kulttuurihyte)]]*Lisäosat[[#This Row],[Asukasmäärä 31.12.2023]]</f>
        <v>37315.978270745996</v>
      </c>
      <c r="N155" s="427">
        <f>Lisäosat[[#This Row],[HYTE-kerroin (sis. Kulttuurihyte)]]/$N$7</f>
        <v>1.0642701593137207</v>
      </c>
      <c r="O155" s="439">
        <v>0</v>
      </c>
      <c r="P155" s="197">
        <v>0</v>
      </c>
      <c r="Q155" s="159">
        <v>0</v>
      </c>
      <c r="R155" s="159">
        <v>725160.76878990349</v>
      </c>
      <c r="S155" s="159">
        <v>1100143.8222120544</v>
      </c>
      <c r="T155" s="159">
        <v>0</v>
      </c>
      <c r="U155" s="309">
        <f t="shared" si="3"/>
        <v>1825304.5910019579</v>
      </c>
      <c r="V155" s="44"/>
      <c r="W155" s="44"/>
      <c r="X155" s="110"/>
      <c r="Y155" s="110"/>
      <c r="Z155" s="111"/>
    </row>
    <row r="156" spans="1:26" s="45" customFormat="1">
      <c r="A156" s="127">
        <v>494</v>
      </c>
      <c r="B156" s="124" t="s">
        <v>160</v>
      </c>
      <c r="C156" s="408">
        <v>8827</v>
      </c>
      <c r="D156" s="412">
        <v>0.19033333333333333</v>
      </c>
      <c r="E156" s="420">
        <v>0</v>
      </c>
      <c r="F156" s="155">
        <v>0</v>
      </c>
      <c r="G156" s="419">
        <v>0</v>
      </c>
      <c r="H156" s="269">
        <v>2571</v>
      </c>
      <c r="I156" s="15">
        <v>3518</v>
      </c>
      <c r="J156" s="331">
        <v>0.7308129619101762</v>
      </c>
      <c r="K156" s="427">
        <v>0.73112129965680839</v>
      </c>
      <c r="L156" s="434">
        <v>0.53040572699999999</v>
      </c>
      <c r="M156" s="14">
        <f>Lisäosat[[#This Row],[HYTE-kerroin (sis. Kulttuurihyte)]]*Lisäosat[[#This Row],[Asukasmäärä 31.12.2023]]</f>
        <v>4681.8913522289995</v>
      </c>
      <c r="N156" s="427">
        <f>Lisäosat[[#This Row],[HYTE-kerroin (sis. Kulttuurihyte)]]/$N$7</f>
        <v>0.78540123073479573</v>
      </c>
      <c r="O156" s="439">
        <v>0</v>
      </c>
      <c r="P156" s="197">
        <v>108415.06767</v>
      </c>
      <c r="Q156" s="159">
        <v>0</v>
      </c>
      <c r="R156" s="159">
        <v>87188.240190074444</v>
      </c>
      <c r="S156" s="159">
        <v>138030.7869741882</v>
      </c>
      <c r="T156" s="159">
        <v>0</v>
      </c>
      <c r="U156" s="309">
        <f t="shared" si="3"/>
        <v>333634.09483426262</v>
      </c>
      <c r="V156" s="44"/>
      <c r="W156" s="44"/>
      <c r="X156" s="110"/>
      <c r="Y156" s="110"/>
      <c r="Z156" s="111"/>
    </row>
    <row r="157" spans="1:26" s="45" customFormat="1">
      <c r="A157" s="127">
        <v>495</v>
      </c>
      <c r="B157" s="124" t="s">
        <v>161</v>
      </c>
      <c r="C157" s="408">
        <v>1430</v>
      </c>
      <c r="D157" s="412">
        <v>0.85261666666666658</v>
      </c>
      <c r="E157" s="420">
        <v>0</v>
      </c>
      <c r="F157" s="155">
        <v>0</v>
      </c>
      <c r="G157" s="419">
        <v>0</v>
      </c>
      <c r="H157" s="269">
        <v>536</v>
      </c>
      <c r="I157" s="15">
        <v>508</v>
      </c>
      <c r="J157" s="331">
        <v>1.0551181102362204</v>
      </c>
      <c r="K157" s="427">
        <v>1.0555632757676181</v>
      </c>
      <c r="L157" s="434">
        <v>0.59203978999999995</v>
      </c>
      <c r="M157" s="14">
        <f>Lisäosat[[#This Row],[HYTE-kerroin (sis. Kulttuurihyte)]]*Lisäosat[[#This Row],[Asukasmäärä 31.12.2023]]</f>
        <v>846.61689969999998</v>
      </c>
      <c r="N157" s="427">
        <f>Lisäosat[[#This Row],[HYTE-kerroin (sis. Kulttuurihyte)]]/$N$7</f>
        <v>0.87666621237287279</v>
      </c>
      <c r="O157" s="439">
        <v>0</v>
      </c>
      <c r="P157" s="197">
        <v>78677.675504999992</v>
      </c>
      <c r="Q157" s="159">
        <v>0</v>
      </c>
      <c r="R157" s="159">
        <v>20392.743593537347</v>
      </c>
      <c r="S157" s="159">
        <v>24959.82673233177</v>
      </c>
      <c r="T157" s="159">
        <v>0</v>
      </c>
      <c r="U157" s="309">
        <f t="shared" si="3"/>
        <v>124030.24583086911</v>
      </c>
      <c r="V157" s="44"/>
      <c r="W157" s="44"/>
      <c r="X157" s="110"/>
      <c r="Y157" s="110"/>
      <c r="Z157" s="111"/>
    </row>
    <row r="158" spans="1:26" s="45" customFormat="1">
      <c r="A158" s="127">
        <v>498</v>
      </c>
      <c r="B158" s="124" t="s">
        <v>162</v>
      </c>
      <c r="C158" s="408">
        <v>2325</v>
      </c>
      <c r="D158" s="412">
        <v>1.8335333333333335</v>
      </c>
      <c r="E158" s="420">
        <v>0</v>
      </c>
      <c r="F158" s="155">
        <v>9</v>
      </c>
      <c r="G158" s="419">
        <v>3.8709677419354839E-3</v>
      </c>
      <c r="H158" s="269">
        <v>1050</v>
      </c>
      <c r="I158" s="15">
        <v>988</v>
      </c>
      <c r="J158" s="331">
        <v>1.0627530364372471</v>
      </c>
      <c r="K158" s="427">
        <v>1.0632014232250582</v>
      </c>
      <c r="L158" s="434">
        <v>0.64032521499999995</v>
      </c>
      <c r="M158" s="14">
        <f>Lisäosat[[#This Row],[HYTE-kerroin (sis. Kulttuurihyte)]]*Lisäosat[[#This Row],[Asukasmäärä 31.12.2023]]</f>
        <v>1488.7561248749998</v>
      </c>
      <c r="N158" s="427">
        <f>Lisäosat[[#This Row],[HYTE-kerroin (sis. Kulttuurihyte)]]/$N$7</f>
        <v>0.94816512403819253</v>
      </c>
      <c r="O158" s="439">
        <v>0.41680817565098077</v>
      </c>
      <c r="P158" s="197">
        <v>825267.39434999996</v>
      </c>
      <c r="Q158" s="159">
        <v>0</v>
      </c>
      <c r="R158" s="159">
        <v>33395.954104566496</v>
      </c>
      <c r="S158" s="159">
        <v>43891.274715570959</v>
      </c>
      <c r="T158" s="159">
        <v>10233.474328582881</v>
      </c>
      <c r="U158" s="309">
        <f t="shared" si="3"/>
        <v>912788.09749872028</v>
      </c>
      <c r="V158" s="44"/>
      <c r="W158" s="44"/>
      <c r="X158" s="110"/>
      <c r="Y158" s="110"/>
      <c r="Z158" s="111"/>
    </row>
    <row r="159" spans="1:26" s="45" customFormat="1">
      <c r="A159" s="127">
        <v>499</v>
      </c>
      <c r="B159" s="124" t="s">
        <v>163</v>
      </c>
      <c r="C159" s="408">
        <v>19763</v>
      </c>
      <c r="D159" s="412">
        <v>0</v>
      </c>
      <c r="E159" s="420">
        <v>0</v>
      </c>
      <c r="F159" s="155">
        <v>0</v>
      </c>
      <c r="G159" s="419">
        <v>0</v>
      </c>
      <c r="H159" s="269">
        <v>5284</v>
      </c>
      <c r="I159" s="15">
        <v>9303</v>
      </c>
      <c r="J159" s="331">
        <v>0.56798882081049129</v>
      </c>
      <c r="K159" s="427">
        <v>0.56822846132352112</v>
      </c>
      <c r="L159" s="434">
        <v>0.63985026599999995</v>
      </c>
      <c r="M159" s="14">
        <f>Lisäosat[[#This Row],[HYTE-kerroin (sis. Kulttuurihyte)]]*Lisäosat[[#This Row],[Asukasmäärä 31.12.2023]]</f>
        <v>12645.360806957999</v>
      </c>
      <c r="N159" s="427">
        <f>Lisäosat[[#This Row],[HYTE-kerroin (sis. Kulttuurihyte)]]/$N$7</f>
        <v>0.94746184066445116</v>
      </c>
      <c r="O159" s="439">
        <v>0.52843792192390404</v>
      </c>
      <c r="P159" s="197">
        <v>0</v>
      </c>
      <c r="Q159" s="159">
        <v>0</v>
      </c>
      <c r="R159" s="159">
        <v>151715.93658615745</v>
      </c>
      <c r="S159" s="159">
        <v>372808.54518889636</v>
      </c>
      <c r="T159" s="159">
        <v>110283.55695437115</v>
      </c>
      <c r="U159" s="309">
        <f t="shared" si="3"/>
        <v>634808.03872942494</v>
      </c>
      <c r="V159" s="44"/>
      <c r="W159" s="44"/>
      <c r="X159" s="110"/>
      <c r="Y159" s="110"/>
      <c r="Z159" s="111"/>
    </row>
    <row r="160" spans="1:26" s="45" customFormat="1">
      <c r="A160" s="127">
        <v>500</v>
      </c>
      <c r="B160" s="124" t="s">
        <v>164</v>
      </c>
      <c r="C160" s="408">
        <v>10551</v>
      </c>
      <c r="D160" s="412">
        <v>0</v>
      </c>
      <c r="E160" s="420">
        <v>0</v>
      </c>
      <c r="F160" s="155">
        <v>0</v>
      </c>
      <c r="G160" s="419">
        <v>0</v>
      </c>
      <c r="H160" s="269">
        <v>2854</v>
      </c>
      <c r="I160" s="15">
        <v>4622</v>
      </c>
      <c r="J160" s="331">
        <v>0.61748160969277366</v>
      </c>
      <c r="K160" s="427">
        <v>0.61774213173882753</v>
      </c>
      <c r="L160" s="434">
        <v>0.69476783399999997</v>
      </c>
      <c r="M160" s="14">
        <f>Lisäosat[[#This Row],[HYTE-kerroin (sis. Kulttuurihyte)]]*Lisäosat[[#This Row],[Asukasmäärä 31.12.2023]]</f>
        <v>7330.4954165339996</v>
      </c>
      <c r="N160" s="427">
        <f>Lisäosat[[#This Row],[HYTE-kerroin (sis. Kulttuurihyte)]]/$N$7</f>
        <v>1.0287813349695378</v>
      </c>
      <c r="O160" s="439">
        <v>0.91466983390119749</v>
      </c>
      <c r="P160" s="197">
        <v>0</v>
      </c>
      <c r="Q160" s="159">
        <v>0</v>
      </c>
      <c r="R160" s="159">
        <v>88055.440604000745</v>
      </c>
      <c r="S160" s="159">
        <v>216116.51683739814</v>
      </c>
      <c r="T160" s="159">
        <v>101911.1957687106</v>
      </c>
      <c r="U160" s="309">
        <f t="shared" si="3"/>
        <v>406083.15321010945</v>
      </c>
      <c r="V160" s="44"/>
      <c r="W160" s="44"/>
      <c r="X160" s="110"/>
      <c r="Y160" s="110"/>
      <c r="Z160" s="111"/>
    </row>
    <row r="161" spans="1:26" s="45" customFormat="1">
      <c r="A161" s="127">
        <v>503</v>
      </c>
      <c r="B161" s="124" t="s">
        <v>165</v>
      </c>
      <c r="C161" s="408">
        <v>7515</v>
      </c>
      <c r="D161" s="412">
        <v>0</v>
      </c>
      <c r="E161" s="420">
        <v>0</v>
      </c>
      <c r="F161" s="155">
        <v>0</v>
      </c>
      <c r="G161" s="419">
        <v>0</v>
      </c>
      <c r="H161" s="269">
        <v>1918</v>
      </c>
      <c r="I161" s="15">
        <v>3262</v>
      </c>
      <c r="J161" s="331">
        <v>0.58798283261802575</v>
      </c>
      <c r="K161" s="427">
        <v>0.58823090881688511</v>
      </c>
      <c r="L161" s="434">
        <v>0.67900359899999996</v>
      </c>
      <c r="M161" s="14">
        <f>Lisäosat[[#This Row],[HYTE-kerroin (sis. Kulttuurihyte)]]*Lisäosat[[#This Row],[Asukasmäärä 31.12.2023]]</f>
        <v>5102.7120464849995</v>
      </c>
      <c r="N161" s="427">
        <f>Lisäosat[[#This Row],[HYTE-kerroin (sis. Kulttuurihyte)]]/$N$7</f>
        <v>1.0054383563018272</v>
      </c>
      <c r="O161" s="439">
        <v>0</v>
      </c>
      <c r="P161" s="197">
        <v>0</v>
      </c>
      <c r="Q161" s="159">
        <v>0</v>
      </c>
      <c r="R161" s="159">
        <v>59721.701829542624</v>
      </c>
      <c r="S161" s="159">
        <v>150437.3567198799</v>
      </c>
      <c r="T161" s="159">
        <v>0</v>
      </c>
      <c r="U161" s="309">
        <f t="shared" si="3"/>
        <v>210159.05854942254</v>
      </c>
      <c r="V161" s="44"/>
      <c r="W161" s="44"/>
      <c r="X161" s="110"/>
      <c r="Y161" s="110"/>
      <c r="Z161" s="111"/>
    </row>
    <row r="162" spans="1:26" s="45" customFormat="1">
      <c r="A162" s="127">
        <v>504</v>
      </c>
      <c r="B162" s="124" t="s">
        <v>166</v>
      </c>
      <c r="C162" s="408">
        <v>1715</v>
      </c>
      <c r="D162" s="412">
        <v>0</v>
      </c>
      <c r="E162" s="420">
        <v>0</v>
      </c>
      <c r="F162" s="155">
        <v>0</v>
      </c>
      <c r="G162" s="419">
        <v>0</v>
      </c>
      <c r="H162" s="269">
        <v>470</v>
      </c>
      <c r="I162" s="15">
        <v>705</v>
      </c>
      <c r="J162" s="331">
        <v>0.66666666666666663</v>
      </c>
      <c r="K162" s="427">
        <v>0.66694794041038552</v>
      </c>
      <c r="L162" s="434">
        <v>0.67034924699999998</v>
      </c>
      <c r="M162" s="14">
        <f>Lisäosat[[#This Row],[HYTE-kerroin (sis. Kulttuurihyte)]]*Lisäosat[[#This Row],[Asukasmäärä 31.12.2023]]</f>
        <v>1149.648958605</v>
      </c>
      <c r="N162" s="427">
        <f>Lisäosat[[#This Row],[HYTE-kerroin (sis. Kulttuurihyte)]]/$N$7</f>
        <v>0.99262337643640031</v>
      </c>
      <c r="O162" s="439">
        <v>0</v>
      </c>
      <c r="P162" s="197">
        <v>0</v>
      </c>
      <c r="Q162" s="159">
        <v>0</v>
      </c>
      <c r="R162" s="159">
        <v>15452.950347529488</v>
      </c>
      <c r="S162" s="159">
        <v>33893.770393615574</v>
      </c>
      <c r="T162" s="159">
        <v>0</v>
      </c>
      <c r="U162" s="309">
        <f t="shared" si="3"/>
        <v>49346.720741145065</v>
      </c>
      <c r="V162" s="44"/>
      <c r="W162" s="44"/>
      <c r="X162" s="110"/>
      <c r="Y162" s="110"/>
      <c r="Z162" s="111"/>
    </row>
    <row r="163" spans="1:26" s="45" customFormat="1">
      <c r="A163" s="127">
        <v>505</v>
      </c>
      <c r="B163" s="124" t="s">
        <v>167</v>
      </c>
      <c r="C163" s="408">
        <v>20957</v>
      </c>
      <c r="D163" s="412">
        <v>0</v>
      </c>
      <c r="E163" s="420">
        <v>0</v>
      </c>
      <c r="F163" s="155">
        <v>4</v>
      </c>
      <c r="G163" s="419">
        <v>1.9086701340840769E-4</v>
      </c>
      <c r="H163" s="269">
        <v>6372</v>
      </c>
      <c r="I163" s="15">
        <v>9695</v>
      </c>
      <c r="J163" s="331">
        <v>0.65724600309437853</v>
      </c>
      <c r="K163" s="427">
        <v>0.65752330216013055</v>
      </c>
      <c r="L163" s="434">
        <v>0.66598341800000005</v>
      </c>
      <c r="M163" s="14">
        <f>Lisäosat[[#This Row],[HYTE-kerroin (sis. Kulttuurihyte)]]*Lisäosat[[#This Row],[Asukasmäärä 31.12.2023]]</f>
        <v>13957.014491026001</v>
      </c>
      <c r="N163" s="427">
        <f>Lisäosat[[#This Row],[HYTE-kerroin (sis. Kulttuurihyte)]]/$N$7</f>
        <v>0.98615865085892251</v>
      </c>
      <c r="O163" s="439">
        <v>0.27831728238634962</v>
      </c>
      <c r="P163" s="197">
        <v>0</v>
      </c>
      <c r="Q163" s="159">
        <v>0</v>
      </c>
      <c r="R163" s="159">
        <v>186163.96104392674</v>
      </c>
      <c r="S163" s="159">
        <v>411478.51350486424</v>
      </c>
      <c r="T163" s="159">
        <v>61593.262230410903</v>
      </c>
      <c r="U163" s="309">
        <f t="shared" si="3"/>
        <v>659235.73677920189</v>
      </c>
      <c r="V163" s="44"/>
      <c r="W163" s="44"/>
      <c r="X163" s="110"/>
      <c r="Y163" s="110"/>
      <c r="Z163" s="111"/>
    </row>
    <row r="164" spans="1:26" s="45" customFormat="1">
      <c r="A164" s="127">
        <v>507</v>
      </c>
      <c r="B164" s="124" t="s">
        <v>168</v>
      </c>
      <c r="C164" s="408">
        <v>5522</v>
      </c>
      <c r="D164" s="412">
        <v>0.68535000000000001</v>
      </c>
      <c r="E164" s="420">
        <v>0</v>
      </c>
      <c r="F164" s="155">
        <v>0</v>
      </c>
      <c r="G164" s="419">
        <v>0</v>
      </c>
      <c r="H164" s="269">
        <v>1917</v>
      </c>
      <c r="I164" s="15">
        <v>1951</v>
      </c>
      <c r="J164" s="331">
        <v>0.98257303946694008</v>
      </c>
      <c r="K164" s="427">
        <v>0.98298759746287234</v>
      </c>
      <c r="L164" s="434">
        <v>0.68539146799999995</v>
      </c>
      <c r="M164" s="14">
        <f>Lisäosat[[#This Row],[HYTE-kerroin (sis. Kulttuurihyte)]]*Lisäosat[[#This Row],[Asukasmäärä 31.12.2023]]</f>
        <v>3784.7316862959997</v>
      </c>
      <c r="N164" s="427">
        <f>Lisäosat[[#This Row],[HYTE-kerroin (sis. Kulttuurihyte)]]/$N$7</f>
        <v>1.0148972288572751</v>
      </c>
      <c r="O164" s="439">
        <v>0</v>
      </c>
      <c r="P164" s="197">
        <v>244213.95923100002</v>
      </c>
      <c r="Q164" s="159">
        <v>0</v>
      </c>
      <c r="R164" s="159">
        <v>73333.057003196649</v>
      </c>
      <c r="S164" s="159">
        <v>111580.86633019996</v>
      </c>
      <c r="T164" s="159">
        <v>0</v>
      </c>
      <c r="U164" s="309">
        <f t="shared" si="3"/>
        <v>429127.8825643966</v>
      </c>
      <c r="V164" s="44"/>
      <c r="W164" s="44"/>
      <c r="X164" s="110"/>
      <c r="Y164" s="110"/>
      <c r="Z164" s="111"/>
    </row>
    <row r="165" spans="1:26" s="45" customFormat="1">
      <c r="A165" s="127">
        <v>508</v>
      </c>
      <c r="B165" s="124" t="s">
        <v>169</v>
      </c>
      <c r="C165" s="408">
        <v>9271</v>
      </c>
      <c r="D165" s="412">
        <v>0.56678333333333331</v>
      </c>
      <c r="E165" s="420">
        <v>0</v>
      </c>
      <c r="F165" s="155">
        <v>1</v>
      </c>
      <c r="G165" s="419">
        <v>1.0786322942508899E-4</v>
      </c>
      <c r="H165" s="269">
        <v>3604</v>
      </c>
      <c r="I165" s="15">
        <v>3347</v>
      </c>
      <c r="J165" s="331">
        <v>1.0767851807588886</v>
      </c>
      <c r="K165" s="427">
        <v>1.0772394878573484</v>
      </c>
      <c r="L165" s="434">
        <v>0.63700926999999996</v>
      </c>
      <c r="M165" s="14">
        <f>Lisäosat[[#This Row],[HYTE-kerroin (sis. Kulttuurihyte)]]*Lisäosat[[#This Row],[Asukasmäärä 31.12.2023]]</f>
        <v>5905.7129421699992</v>
      </c>
      <c r="N165" s="427">
        <f>Lisäosat[[#This Row],[HYTE-kerroin (sis. Kulttuurihyte)]]/$N$7</f>
        <v>0.94325502003388773</v>
      </c>
      <c r="O165" s="439">
        <v>0</v>
      </c>
      <c r="P165" s="197">
        <v>339082.45372349996</v>
      </c>
      <c r="Q165" s="159">
        <v>0</v>
      </c>
      <c r="R165" s="159">
        <v>134925.54931391319</v>
      </c>
      <c r="S165" s="159">
        <v>174111.30325851738</v>
      </c>
      <c r="T165" s="159">
        <v>0</v>
      </c>
      <c r="U165" s="309">
        <f t="shared" si="3"/>
        <v>648119.30629593052</v>
      </c>
      <c r="V165" s="44"/>
      <c r="W165" s="44"/>
      <c r="X165" s="110"/>
      <c r="Y165" s="110"/>
      <c r="Z165" s="111"/>
    </row>
    <row r="166" spans="1:26" s="45" customFormat="1">
      <c r="A166" s="127">
        <v>529</v>
      </c>
      <c r="B166" s="124" t="s">
        <v>170</v>
      </c>
      <c r="C166" s="408">
        <v>19999</v>
      </c>
      <c r="D166" s="412">
        <v>0</v>
      </c>
      <c r="E166" s="420">
        <v>0</v>
      </c>
      <c r="F166" s="155">
        <v>1</v>
      </c>
      <c r="G166" s="419">
        <v>5.0002500125006248E-5</v>
      </c>
      <c r="H166" s="269">
        <v>5417</v>
      </c>
      <c r="I166" s="15">
        <v>8668</v>
      </c>
      <c r="J166" s="331">
        <v>0.62494231656668209</v>
      </c>
      <c r="K166" s="427">
        <v>0.62520598636416569</v>
      </c>
      <c r="L166" s="434">
        <v>0.73503381300000004</v>
      </c>
      <c r="M166" s="14">
        <f>Lisäosat[[#This Row],[HYTE-kerroin (sis. Kulttuurihyte)]]*Lisäosat[[#This Row],[Asukasmäärä 31.12.2023]]</f>
        <v>14699.941226187</v>
      </c>
      <c r="N166" s="427">
        <f>Lisäosat[[#This Row],[HYTE-kerroin (sis. Kulttuurihyte)]]/$N$7</f>
        <v>1.0884054073607123</v>
      </c>
      <c r="O166" s="439">
        <v>0.97239400397133302</v>
      </c>
      <c r="P166" s="197">
        <v>0</v>
      </c>
      <c r="Q166" s="159">
        <v>0</v>
      </c>
      <c r="R166" s="159">
        <v>168922.21098272176</v>
      </c>
      <c r="S166" s="159">
        <v>433381.36305937509</v>
      </c>
      <c r="T166" s="159">
        <v>205359.3451580636</v>
      </c>
      <c r="U166" s="309">
        <f t="shared" si="3"/>
        <v>807662.91920016042</v>
      </c>
      <c r="V166" s="44"/>
      <c r="W166" s="44"/>
      <c r="X166" s="110"/>
      <c r="Y166" s="110"/>
      <c r="Z166" s="111"/>
    </row>
    <row r="167" spans="1:26" s="45" customFormat="1">
      <c r="A167" s="127">
        <v>531</v>
      </c>
      <c r="B167" s="124" t="s">
        <v>171</v>
      </c>
      <c r="C167" s="408">
        <v>4966</v>
      </c>
      <c r="D167" s="412">
        <v>0</v>
      </c>
      <c r="E167" s="420">
        <v>0</v>
      </c>
      <c r="F167" s="155">
        <v>0</v>
      </c>
      <c r="G167" s="419">
        <v>0</v>
      </c>
      <c r="H167" s="269">
        <v>1408</v>
      </c>
      <c r="I167" s="15">
        <v>2037</v>
      </c>
      <c r="J167" s="331">
        <v>0.69121256750122728</v>
      </c>
      <c r="K167" s="427">
        <v>0.69150419742107727</v>
      </c>
      <c r="L167" s="434">
        <v>0.61040810999999995</v>
      </c>
      <c r="M167" s="14">
        <f>Lisäosat[[#This Row],[HYTE-kerroin (sis. Kulttuurihyte)]]*Lisäosat[[#This Row],[Asukasmäärä 31.12.2023]]</f>
        <v>3031.2866742599999</v>
      </c>
      <c r="N167" s="427">
        <f>Lisäosat[[#This Row],[HYTE-kerroin (sis. Kulttuurihyte)]]/$N$7</f>
        <v>0.90386520439003581</v>
      </c>
      <c r="O167" s="439">
        <v>0</v>
      </c>
      <c r="P167" s="197">
        <v>0</v>
      </c>
      <c r="Q167" s="159">
        <v>0</v>
      </c>
      <c r="R167" s="159">
        <v>46393.472997750374</v>
      </c>
      <c r="S167" s="159">
        <v>89367.918585568274</v>
      </c>
      <c r="T167" s="159">
        <v>0</v>
      </c>
      <c r="U167" s="309">
        <f t="shared" si="3"/>
        <v>135761.39158331865</v>
      </c>
      <c r="V167" s="44"/>
      <c r="W167" s="44"/>
      <c r="X167" s="110"/>
      <c r="Y167" s="110"/>
      <c r="Z167" s="111"/>
    </row>
    <row r="168" spans="1:26" s="45" customFormat="1">
      <c r="A168" s="127">
        <v>535</v>
      </c>
      <c r="B168" s="124" t="s">
        <v>172</v>
      </c>
      <c r="C168" s="408">
        <v>10454</v>
      </c>
      <c r="D168" s="412">
        <v>8.7833333333333333E-2</v>
      </c>
      <c r="E168" s="420">
        <v>0</v>
      </c>
      <c r="F168" s="155">
        <v>0</v>
      </c>
      <c r="G168" s="419">
        <v>0</v>
      </c>
      <c r="H168" s="269">
        <v>3815</v>
      </c>
      <c r="I168" s="15">
        <v>4062</v>
      </c>
      <c r="J168" s="331">
        <v>0.93919251600196951</v>
      </c>
      <c r="K168" s="427">
        <v>0.93958877129454255</v>
      </c>
      <c r="L168" s="434">
        <v>0.65975034200000005</v>
      </c>
      <c r="M168" s="14">
        <f>Lisäosat[[#This Row],[HYTE-kerroin (sis. Kulttuurihyte)]]*Lisäosat[[#This Row],[Asukasmäärä 31.12.2023]]</f>
        <v>6897.0300752680005</v>
      </c>
      <c r="N168" s="427">
        <f>Lisäosat[[#This Row],[HYTE-kerroin (sis. Kulttuurihyte)]]/$N$7</f>
        <v>0.97692898889928925</v>
      </c>
      <c r="O168" s="439">
        <v>0</v>
      </c>
      <c r="P168" s="197">
        <v>59252.069790000001</v>
      </c>
      <c r="Q168" s="159">
        <v>0</v>
      </c>
      <c r="R168" s="159">
        <v>132701.44831417862</v>
      </c>
      <c r="S168" s="159">
        <v>203337.15959056764</v>
      </c>
      <c r="T168" s="159">
        <v>0</v>
      </c>
      <c r="U168" s="309">
        <f t="shared" si="3"/>
        <v>395290.67769474629</v>
      </c>
      <c r="V168" s="44"/>
      <c r="W168" s="44"/>
      <c r="X168" s="110"/>
      <c r="Y168" s="110"/>
      <c r="Z168" s="111"/>
    </row>
    <row r="169" spans="1:26" s="45" customFormat="1">
      <c r="A169" s="127">
        <v>536</v>
      </c>
      <c r="B169" s="124" t="s">
        <v>173</v>
      </c>
      <c r="C169" s="408">
        <v>35647</v>
      </c>
      <c r="D169" s="412">
        <v>0</v>
      </c>
      <c r="E169" s="420">
        <v>0</v>
      </c>
      <c r="F169" s="155">
        <v>4</v>
      </c>
      <c r="G169" s="419">
        <v>1.1221140628944932E-4</v>
      </c>
      <c r="H169" s="269">
        <v>12564</v>
      </c>
      <c r="I169" s="15">
        <v>16081</v>
      </c>
      <c r="J169" s="331">
        <v>0.78129469560350728</v>
      </c>
      <c r="K169" s="427">
        <v>0.78162433212947746</v>
      </c>
      <c r="L169" s="434">
        <v>0.74038503300000003</v>
      </c>
      <c r="M169" s="14">
        <f>Lisäosat[[#This Row],[HYTE-kerroin (sis. Kulttuurihyte)]]*Lisäosat[[#This Row],[Asukasmäärä 31.12.2023]]</f>
        <v>26392.505271351001</v>
      </c>
      <c r="N169" s="427">
        <f>Lisäosat[[#This Row],[HYTE-kerroin (sis. Kulttuurihyte)]]/$N$7</f>
        <v>1.096329256142859</v>
      </c>
      <c r="O169" s="439">
        <v>1.1198009553544293</v>
      </c>
      <c r="P169" s="197">
        <v>0</v>
      </c>
      <c r="Q169" s="159">
        <v>0</v>
      </c>
      <c r="R169" s="159">
        <v>376423.22028583719</v>
      </c>
      <c r="S169" s="159">
        <v>778099.70346505474</v>
      </c>
      <c r="T169" s="159">
        <v>421529.27156228427</v>
      </c>
      <c r="U169" s="309">
        <f t="shared" si="3"/>
        <v>1576052.1953131761</v>
      </c>
      <c r="V169" s="44"/>
      <c r="W169" s="44"/>
      <c r="X169" s="110"/>
      <c r="Y169" s="110"/>
      <c r="Z169" s="111"/>
    </row>
    <row r="170" spans="1:26" s="45" customFormat="1">
      <c r="A170" s="127">
        <v>538</v>
      </c>
      <c r="B170" s="124" t="s">
        <v>174</v>
      </c>
      <c r="C170" s="408">
        <v>4695</v>
      </c>
      <c r="D170" s="412">
        <v>0</v>
      </c>
      <c r="E170" s="420">
        <v>0</v>
      </c>
      <c r="F170" s="155">
        <v>1</v>
      </c>
      <c r="G170" s="419">
        <v>2.1299254526091586E-4</v>
      </c>
      <c r="H170" s="269">
        <v>927</v>
      </c>
      <c r="I170" s="15">
        <v>2142</v>
      </c>
      <c r="J170" s="331">
        <v>0.4327731092436975</v>
      </c>
      <c r="K170" s="427">
        <v>0.4329557008126243</v>
      </c>
      <c r="L170" s="434">
        <v>0.53660179200000002</v>
      </c>
      <c r="M170" s="14">
        <f>Lisäosat[[#This Row],[HYTE-kerroin (sis. Kulttuurihyte)]]*Lisäosat[[#This Row],[Asukasmäärä 31.12.2023]]</f>
        <v>2519.3454134399999</v>
      </c>
      <c r="N170" s="427">
        <f>Lisäosat[[#This Row],[HYTE-kerroin (sis. Kulttuurihyte)]]/$N$7</f>
        <v>0.79457608845029859</v>
      </c>
      <c r="O170" s="439">
        <v>1.7754996655720372E-2</v>
      </c>
      <c r="P170" s="197">
        <v>0</v>
      </c>
      <c r="Q170" s="159">
        <v>0</v>
      </c>
      <c r="R170" s="159">
        <v>27462.141976909312</v>
      </c>
      <c r="S170" s="159">
        <v>74274.946579308365</v>
      </c>
      <c r="T170" s="159">
        <v>880.27853019329143</v>
      </c>
      <c r="U170" s="309">
        <f t="shared" si="3"/>
        <v>102617.36708641096</v>
      </c>
      <c r="V170" s="44"/>
      <c r="W170" s="44"/>
      <c r="X170" s="110"/>
      <c r="Y170" s="110"/>
      <c r="Z170" s="111"/>
    </row>
    <row r="171" spans="1:26" s="45" customFormat="1">
      <c r="A171" s="127">
        <v>541</v>
      </c>
      <c r="B171" s="124" t="s">
        <v>175</v>
      </c>
      <c r="C171" s="408">
        <v>9130</v>
      </c>
      <c r="D171" s="412">
        <v>1.181</v>
      </c>
      <c r="E171" s="420">
        <v>0</v>
      </c>
      <c r="F171" s="155">
        <v>0</v>
      </c>
      <c r="G171" s="419">
        <v>0</v>
      </c>
      <c r="H171" s="269">
        <v>3200</v>
      </c>
      <c r="I171" s="15">
        <v>3192</v>
      </c>
      <c r="J171" s="331">
        <v>1.0025062656641603</v>
      </c>
      <c r="K171" s="427">
        <v>1.0029292336998279</v>
      </c>
      <c r="L171" s="434">
        <v>0.56511702500000005</v>
      </c>
      <c r="M171" s="14">
        <f>Lisäosat[[#This Row],[HYTE-kerroin (sis. Kulttuurihyte)]]*Lisäosat[[#This Row],[Asukasmäärä 31.12.2023]]</f>
        <v>5159.5184382500001</v>
      </c>
      <c r="N171" s="427">
        <f>Lisäosat[[#This Row],[HYTE-kerroin (sis. Kulttuurihyte)]]/$N$7</f>
        <v>0.83680017833628406</v>
      </c>
      <c r="O171" s="439">
        <v>0</v>
      </c>
      <c r="P171" s="197">
        <v>1043694.99135</v>
      </c>
      <c r="Q171" s="159">
        <v>0</v>
      </c>
      <c r="R171" s="159">
        <v>123707.61013870909</v>
      </c>
      <c r="S171" s="159">
        <v>152112.11385766655</v>
      </c>
      <c r="T171" s="159">
        <v>0</v>
      </c>
      <c r="U171" s="309">
        <f t="shared" si="3"/>
        <v>1319514.7153463757</v>
      </c>
      <c r="V171" s="44"/>
      <c r="W171" s="44"/>
      <c r="X171" s="110"/>
      <c r="Y171" s="110"/>
      <c r="Z171" s="111"/>
    </row>
    <row r="172" spans="1:26" s="45" customFormat="1">
      <c r="A172" s="127">
        <v>543</v>
      </c>
      <c r="B172" s="124" t="s">
        <v>176</v>
      </c>
      <c r="C172" s="408">
        <v>44785</v>
      </c>
      <c r="D172" s="412">
        <v>0</v>
      </c>
      <c r="E172" s="420">
        <v>0</v>
      </c>
      <c r="F172" s="155">
        <v>1</v>
      </c>
      <c r="G172" s="419">
        <v>2.2328904767221169E-5</v>
      </c>
      <c r="H172" s="269">
        <v>12367</v>
      </c>
      <c r="I172" s="15">
        <v>21431</v>
      </c>
      <c r="J172" s="331">
        <v>0.57706126638980915</v>
      </c>
      <c r="K172" s="427">
        <v>0.57730473466393817</v>
      </c>
      <c r="L172" s="434">
        <v>0.69027291499999999</v>
      </c>
      <c r="M172" s="14">
        <f>Lisäosat[[#This Row],[HYTE-kerroin (sis. Kulttuurihyte)]]*Lisäosat[[#This Row],[Asukasmäärä 31.12.2023]]</f>
        <v>30913.872498274999</v>
      </c>
      <c r="N172" s="427">
        <f>Lisäosat[[#This Row],[HYTE-kerroin (sis. Kulttuurihyte)]]/$N$7</f>
        <v>1.0221254586564732</v>
      </c>
      <c r="O172" s="439">
        <v>0.84943932047608273</v>
      </c>
      <c r="P172" s="197">
        <v>0</v>
      </c>
      <c r="Q172" s="159">
        <v>0</v>
      </c>
      <c r="R172" s="159">
        <v>349295.54524139961</v>
      </c>
      <c r="S172" s="159">
        <v>911397.94333866925</v>
      </c>
      <c r="T172" s="159">
        <v>401724.9980570256</v>
      </c>
      <c r="U172" s="309">
        <f t="shared" si="3"/>
        <v>1662418.4866370945</v>
      </c>
      <c r="V172" s="44"/>
      <c r="W172" s="44"/>
      <c r="X172" s="110"/>
      <c r="Y172" s="110"/>
      <c r="Z172" s="111"/>
    </row>
    <row r="173" spans="1:26" s="45" customFormat="1">
      <c r="A173" s="127">
        <v>545</v>
      </c>
      <c r="B173" s="124" t="s">
        <v>177</v>
      </c>
      <c r="C173" s="408">
        <v>9621</v>
      </c>
      <c r="D173" s="412">
        <v>0.75511666666666666</v>
      </c>
      <c r="E173" s="420">
        <v>0</v>
      </c>
      <c r="F173" s="155">
        <v>0</v>
      </c>
      <c r="G173" s="419">
        <v>0</v>
      </c>
      <c r="H173" s="269">
        <v>4513</v>
      </c>
      <c r="I173" s="15">
        <v>4209</v>
      </c>
      <c r="J173" s="331">
        <v>1.0722261819909717</v>
      </c>
      <c r="K173" s="427">
        <v>1.0726785655994548</v>
      </c>
      <c r="L173" s="434">
        <v>0.52258419599999995</v>
      </c>
      <c r="M173" s="14">
        <f>Lisäosat[[#This Row],[HYTE-kerroin (sis. Kulttuurihyte)]]*Lisäosat[[#This Row],[Asukasmäärä 31.12.2023]]</f>
        <v>5027.7825497159993</v>
      </c>
      <c r="N173" s="427">
        <f>Lisäosat[[#This Row],[HYTE-kerroin (sis. Kulttuurihyte)]]/$N$7</f>
        <v>0.7738194551978389</v>
      </c>
      <c r="O173" s="439">
        <v>0.21932908306608509</v>
      </c>
      <c r="P173" s="197">
        <v>468808.99484850001</v>
      </c>
      <c r="Q173" s="159">
        <v>0</v>
      </c>
      <c r="R173" s="159">
        <v>139426.44887983313</v>
      </c>
      <c r="S173" s="159">
        <v>148228.29704110691</v>
      </c>
      <c r="T173" s="159">
        <v>22283.343542368177</v>
      </c>
      <c r="U173" s="309">
        <f t="shared" si="3"/>
        <v>778747.08431180823</v>
      </c>
      <c r="V173" s="44"/>
      <c r="W173" s="44"/>
      <c r="X173" s="110"/>
      <c r="Y173" s="110"/>
      <c r="Z173" s="111"/>
    </row>
    <row r="174" spans="1:26" s="45" customFormat="1">
      <c r="A174" s="127">
        <v>560</v>
      </c>
      <c r="B174" s="124" t="s">
        <v>178</v>
      </c>
      <c r="C174" s="408">
        <v>15669</v>
      </c>
      <c r="D174" s="412">
        <v>0</v>
      </c>
      <c r="E174" s="420">
        <v>0</v>
      </c>
      <c r="F174" s="155">
        <v>5</v>
      </c>
      <c r="G174" s="419">
        <v>3.1910141042823412E-4</v>
      </c>
      <c r="H174" s="269">
        <v>4663</v>
      </c>
      <c r="I174" s="15">
        <v>6501</v>
      </c>
      <c r="J174" s="331">
        <v>0.71727426549761575</v>
      </c>
      <c r="K174" s="427">
        <v>0.7175768911245104</v>
      </c>
      <c r="L174" s="434">
        <v>0.556929856</v>
      </c>
      <c r="M174" s="14">
        <f>Lisäosat[[#This Row],[HYTE-kerroin (sis. Kulttuurihyte)]]*Lisäosat[[#This Row],[Asukasmäärä 31.12.2023]]</f>
        <v>8726.5339136639996</v>
      </c>
      <c r="N174" s="427">
        <f>Lisäosat[[#This Row],[HYTE-kerroin (sis. Kulttuurihyte)]]/$N$7</f>
        <v>0.82467698229689845</v>
      </c>
      <c r="O174" s="439">
        <v>0</v>
      </c>
      <c r="P174" s="197">
        <v>0</v>
      </c>
      <c r="Q174" s="159">
        <v>0</v>
      </c>
      <c r="R174" s="159">
        <v>151902.55326797467</v>
      </c>
      <c r="S174" s="159">
        <v>257274.30498499711</v>
      </c>
      <c r="T174" s="159">
        <v>0</v>
      </c>
      <c r="U174" s="309">
        <f t="shared" si="3"/>
        <v>409176.85825297178</v>
      </c>
      <c r="V174" s="44"/>
      <c r="W174" s="44"/>
      <c r="X174" s="110"/>
      <c r="Y174" s="110"/>
      <c r="Z174" s="111"/>
    </row>
    <row r="175" spans="1:26" s="45" customFormat="1">
      <c r="A175" s="127">
        <v>561</v>
      </c>
      <c r="B175" s="124" t="s">
        <v>179</v>
      </c>
      <c r="C175" s="408">
        <v>1315</v>
      </c>
      <c r="D175" s="412">
        <v>0</v>
      </c>
      <c r="E175" s="420">
        <v>0</v>
      </c>
      <c r="F175" s="155">
        <v>0</v>
      </c>
      <c r="G175" s="419">
        <v>0</v>
      </c>
      <c r="H175" s="269">
        <v>455</v>
      </c>
      <c r="I175" s="15">
        <v>534</v>
      </c>
      <c r="J175" s="331">
        <v>0.85205992509363293</v>
      </c>
      <c r="K175" s="427">
        <v>0.85241941822113887</v>
      </c>
      <c r="L175" s="434">
        <v>0.43154433199999997</v>
      </c>
      <c r="M175" s="14">
        <f>Lisäosat[[#This Row],[HYTE-kerroin (sis. Kulttuurihyte)]]*Lisäosat[[#This Row],[Asukasmäärä 31.12.2023]]</f>
        <v>567.48079657999995</v>
      </c>
      <c r="N175" s="427">
        <f>Lisäosat[[#This Row],[HYTE-kerroin (sis. Kulttuurihyte)]]/$N$7</f>
        <v>0.63901167015382787</v>
      </c>
      <c r="O175" s="439">
        <v>0</v>
      </c>
      <c r="P175" s="197">
        <v>0</v>
      </c>
      <c r="Q175" s="159">
        <v>0</v>
      </c>
      <c r="R175" s="159">
        <v>15143.785037320375</v>
      </c>
      <c r="S175" s="159">
        <v>16730.379893882968</v>
      </c>
      <c r="T175" s="159">
        <v>0</v>
      </c>
      <c r="U175" s="309">
        <f t="shared" si="3"/>
        <v>31874.164931203341</v>
      </c>
      <c r="V175" s="44"/>
      <c r="W175" s="44"/>
      <c r="X175" s="110"/>
      <c r="Y175" s="110"/>
      <c r="Z175" s="111"/>
    </row>
    <row r="176" spans="1:26" s="45" customFormat="1">
      <c r="A176" s="127">
        <v>562</v>
      </c>
      <c r="B176" s="124" t="s">
        <v>180</v>
      </c>
      <c r="C176" s="408">
        <v>8839</v>
      </c>
      <c r="D176" s="412">
        <v>0.28939999999999999</v>
      </c>
      <c r="E176" s="420">
        <v>0</v>
      </c>
      <c r="F176" s="155">
        <v>0</v>
      </c>
      <c r="G176" s="419">
        <v>0</v>
      </c>
      <c r="H176" s="269">
        <v>2403</v>
      </c>
      <c r="I176" s="15">
        <v>3481</v>
      </c>
      <c r="J176" s="331">
        <v>0.69031887388681412</v>
      </c>
      <c r="K176" s="427">
        <v>0.69061012674784106</v>
      </c>
      <c r="L176" s="434">
        <v>0.66621946799999998</v>
      </c>
      <c r="M176" s="14">
        <f>Lisäosat[[#This Row],[HYTE-kerroin (sis. Kulttuurihyte)]]*Lisäosat[[#This Row],[Asukasmäärä 31.12.2023]]</f>
        <v>5888.7138776519996</v>
      </c>
      <c r="N176" s="427">
        <f>Lisäosat[[#This Row],[HYTE-kerroin (sis. Kulttuurihyte)]]/$N$7</f>
        <v>0.98650818320949396</v>
      </c>
      <c r="O176" s="439">
        <v>0</v>
      </c>
      <c r="P176" s="197">
        <v>165068.16589799998</v>
      </c>
      <c r="Q176" s="159">
        <v>0</v>
      </c>
      <c r="R176" s="159">
        <v>82469.132318479489</v>
      </c>
      <c r="S176" s="159">
        <v>173610.13950294934</v>
      </c>
      <c r="T176" s="159">
        <v>0</v>
      </c>
      <c r="U176" s="309">
        <f t="shared" si="3"/>
        <v>421147.4377194288</v>
      </c>
      <c r="V176" s="44"/>
      <c r="W176" s="44"/>
      <c r="X176" s="110"/>
      <c r="Y176" s="110"/>
      <c r="Z176" s="111"/>
    </row>
    <row r="177" spans="1:26" s="45" customFormat="1">
      <c r="A177" s="127">
        <v>563</v>
      </c>
      <c r="B177" s="124" t="s">
        <v>181</v>
      </c>
      <c r="C177" s="408">
        <v>6978</v>
      </c>
      <c r="D177" s="412">
        <v>0.48</v>
      </c>
      <c r="E177" s="420">
        <v>0</v>
      </c>
      <c r="F177" s="155">
        <v>0</v>
      </c>
      <c r="G177" s="419">
        <v>0</v>
      </c>
      <c r="H177" s="269">
        <v>2728</v>
      </c>
      <c r="I177" s="15">
        <v>2634</v>
      </c>
      <c r="J177" s="331">
        <v>1.0356871678056188</v>
      </c>
      <c r="K177" s="427">
        <v>1.0361241352161343</v>
      </c>
      <c r="L177" s="434">
        <v>0.54168783099999995</v>
      </c>
      <c r="M177" s="14">
        <f>Lisäosat[[#This Row],[HYTE-kerroin (sis. Kulttuurihyte)]]*Lisäosat[[#This Row],[Asukasmäärä 31.12.2023]]</f>
        <v>3779.8976847179997</v>
      </c>
      <c r="N177" s="427">
        <f>Lisäosat[[#This Row],[HYTE-kerroin (sis. Kulttuurihyte)]]/$N$7</f>
        <v>0.80210726899157714</v>
      </c>
      <c r="O177" s="439">
        <v>0</v>
      </c>
      <c r="P177" s="197">
        <v>216139.36320000002</v>
      </c>
      <c r="Q177" s="159">
        <v>0</v>
      </c>
      <c r="R177" s="159">
        <v>97678.30265192088</v>
      </c>
      <c r="S177" s="159">
        <v>111438.35105339241</v>
      </c>
      <c r="T177" s="159">
        <v>0</v>
      </c>
      <c r="U177" s="309">
        <f t="shared" si="3"/>
        <v>425256.0169053133</v>
      </c>
      <c r="V177" s="44"/>
      <c r="W177" s="44"/>
      <c r="X177" s="110"/>
      <c r="Y177" s="110"/>
      <c r="Z177" s="111"/>
    </row>
    <row r="178" spans="1:26" s="45" customFormat="1">
      <c r="A178" s="127">
        <v>564</v>
      </c>
      <c r="B178" s="124" t="s">
        <v>182</v>
      </c>
      <c r="C178" s="408">
        <v>214633</v>
      </c>
      <c r="D178" s="412">
        <v>0</v>
      </c>
      <c r="E178" s="420">
        <v>0</v>
      </c>
      <c r="F178" s="155">
        <v>155</v>
      </c>
      <c r="G178" s="419">
        <v>7.2216294791574453E-4</v>
      </c>
      <c r="H178" s="269">
        <v>97459</v>
      </c>
      <c r="I178" s="15">
        <v>93276</v>
      </c>
      <c r="J178" s="331">
        <v>1.0448454050345213</v>
      </c>
      <c r="K178" s="427">
        <v>1.0452862364025437</v>
      </c>
      <c r="L178" s="434">
        <v>0.68416401500000001</v>
      </c>
      <c r="M178" s="14">
        <f>Lisäosat[[#This Row],[HYTE-kerroin (sis. Kulttuurihyte)]]*Lisäosat[[#This Row],[Asukasmäärä 31.12.2023]]</f>
        <v>146844.17503149499</v>
      </c>
      <c r="N178" s="427">
        <f>Lisäosat[[#This Row],[HYTE-kerroin (sis. Kulttuurihyte)]]/$N$7</f>
        <v>1.0130796709995917</v>
      </c>
      <c r="O178" s="439">
        <v>1.1611588619227102</v>
      </c>
      <c r="P178" s="197">
        <v>0</v>
      </c>
      <c r="Q178" s="159">
        <v>0</v>
      </c>
      <c r="R178" s="159">
        <v>3031007.9597079046</v>
      </c>
      <c r="S178" s="159">
        <v>4329236.9509007987</v>
      </c>
      <c r="T178" s="159">
        <v>2631794.985716763</v>
      </c>
      <c r="U178" s="309">
        <f t="shared" si="3"/>
        <v>9992039.8963254653</v>
      </c>
      <c r="V178" s="44"/>
      <c r="W178" s="44"/>
      <c r="X178" s="110"/>
      <c r="Y178" s="110"/>
      <c r="Z178" s="111"/>
    </row>
    <row r="179" spans="1:26" s="45" customFormat="1">
      <c r="A179" s="127">
        <v>576</v>
      </c>
      <c r="B179" s="124" t="s">
        <v>183</v>
      </c>
      <c r="C179" s="408">
        <v>2726</v>
      </c>
      <c r="D179" s="412">
        <v>1.1095333333333333</v>
      </c>
      <c r="E179" s="420">
        <v>0</v>
      </c>
      <c r="F179" s="155">
        <v>0</v>
      </c>
      <c r="G179" s="419">
        <v>0</v>
      </c>
      <c r="H179" s="269">
        <v>712</v>
      </c>
      <c r="I179" s="15">
        <v>915</v>
      </c>
      <c r="J179" s="331">
        <v>0.77814207650273226</v>
      </c>
      <c r="K179" s="427">
        <v>0.77847038290523696</v>
      </c>
      <c r="L179" s="434">
        <v>0.62968950700000004</v>
      </c>
      <c r="M179" s="14">
        <f>Lisäosat[[#This Row],[HYTE-kerroin (sis. Kulttuurihyte)]]*Lisäosat[[#This Row],[Asukasmäärä 31.12.2023]]</f>
        <v>1716.533596082</v>
      </c>
      <c r="N179" s="427">
        <f>Lisäosat[[#This Row],[HYTE-kerroin (sis. Kulttuurihyte)]]/$N$7</f>
        <v>0.93241624025410796</v>
      </c>
      <c r="O179" s="439">
        <v>0</v>
      </c>
      <c r="P179" s="197">
        <v>292764.98255399999</v>
      </c>
      <c r="Q179" s="159">
        <v>0</v>
      </c>
      <c r="R179" s="159">
        <v>28669.709663933623</v>
      </c>
      <c r="S179" s="159">
        <v>50606.574418270022</v>
      </c>
      <c r="T179" s="159">
        <v>0</v>
      </c>
      <c r="U179" s="309">
        <f t="shared" si="3"/>
        <v>372041.26663620363</v>
      </c>
      <c r="V179" s="44"/>
      <c r="W179" s="44"/>
      <c r="X179" s="110"/>
      <c r="Y179" s="110"/>
      <c r="Z179" s="111"/>
    </row>
    <row r="180" spans="1:26" s="45" customFormat="1">
      <c r="A180" s="127">
        <v>577</v>
      </c>
      <c r="B180" s="124" t="s">
        <v>184</v>
      </c>
      <c r="C180" s="408">
        <v>11236</v>
      </c>
      <c r="D180" s="412">
        <v>0</v>
      </c>
      <c r="E180" s="420">
        <v>0</v>
      </c>
      <c r="F180" s="155">
        <v>1</v>
      </c>
      <c r="G180" s="419">
        <v>8.8999644001423999E-5</v>
      </c>
      <c r="H180" s="269">
        <v>3186</v>
      </c>
      <c r="I180" s="15">
        <v>4986</v>
      </c>
      <c r="J180" s="331">
        <v>0.63898916967509023</v>
      </c>
      <c r="K180" s="427">
        <v>0.63925876598901576</v>
      </c>
      <c r="L180" s="434">
        <v>0.65967855200000003</v>
      </c>
      <c r="M180" s="14">
        <f>Lisäosat[[#This Row],[HYTE-kerroin (sis. Kulttuurihyte)]]*Lisäosat[[#This Row],[Asukasmäärä 31.12.2023]]</f>
        <v>7412.1482102720001</v>
      </c>
      <c r="N180" s="427">
        <f>Lisäosat[[#This Row],[HYTE-kerroin (sis. Kulttuurihyte)]]/$N$7</f>
        <v>0.97682268545744411</v>
      </c>
      <c r="O180" s="439">
        <v>0.94931945420275721</v>
      </c>
      <c r="P180" s="197">
        <v>0</v>
      </c>
      <c r="Q180" s="159">
        <v>0</v>
      </c>
      <c r="R180" s="159">
        <v>97038.432292756363</v>
      </c>
      <c r="S180" s="159">
        <v>218523.79170355486</v>
      </c>
      <c r="T180" s="159">
        <v>112638.80377117822</v>
      </c>
      <c r="U180" s="309">
        <f t="shared" si="3"/>
        <v>428201.02776748943</v>
      </c>
      <c r="V180" s="44"/>
      <c r="W180" s="44"/>
      <c r="X180" s="110"/>
      <c r="Y180" s="110"/>
      <c r="Z180" s="111"/>
    </row>
    <row r="181" spans="1:26" s="45" customFormat="1">
      <c r="A181" s="127">
        <v>578</v>
      </c>
      <c r="B181" s="124" t="s">
        <v>185</v>
      </c>
      <c r="C181" s="408">
        <v>3037</v>
      </c>
      <c r="D181" s="412">
        <v>0.96758333333333335</v>
      </c>
      <c r="E181" s="420">
        <v>0</v>
      </c>
      <c r="F181" s="155">
        <v>0</v>
      </c>
      <c r="G181" s="419">
        <v>0</v>
      </c>
      <c r="H181" s="269">
        <v>848</v>
      </c>
      <c r="I181" s="15">
        <v>1078</v>
      </c>
      <c r="J181" s="331">
        <v>0.7866419294990723</v>
      </c>
      <c r="K181" s="427">
        <v>0.78697382207978706</v>
      </c>
      <c r="L181" s="434">
        <v>0.71631143500000005</v>
      </c>
      <c r="M181" s="14">
        <f>Lisäosat[[#This Row],[HYTE-kerroin (sis. Kulttuurihyte)]]*Lisäosat[[#This Row],[Asukasmäärä 31.12.2023]]</f>
        <v>2175.437828095</v>
      </c>
      <c r="N181" s="427">
        <f>Lisäosat[[#This Row],[HYTE-kerroin (sis. Kulttuurihyte)]]/$N$7</f>
        <v>1.0606821419905363</v>
      </c>
      <c r="O181" s="439">
        <v>0</v>
      </c>
      <c r="P181" s="197">
        <v>189624.6691425</v>
      </c>
      <c r="Q181" s="159">
        <v>0</v>
      </c>
      <c r="R181" s="159">
        <v>32289.433613336794</v>
      </c>
      <c r="S181" s="159">
        <v>64135.917054634905</v>
      </c>
      <c r="T181" s="159">
        <v>0</v>
      </c>
      <c r="U181" s="309">
        <f t="shared" si="3"/>
        <v>286050.01981047168</v>
      </c>
      <c r="V181" s="44"/>
      <c r="W181" s="44"/>
      <c r="X181" s="110"/>
      <c r="Y181" s="110"/>
      <c r="Z181" s="111"/>
    </row>
    <row r="182" spans="1:26" s="45" customFormat="1">
      <c r="A182" s="127">
        <v>580</v>
      </c>
      <c r="B182" s="124" t="s">
        <v>186</v>
      </c>
      <c r="C182" s="408">
        <v>4366</v>
      </c>
      <c r="D182" s="412">
        <v>1.3523166666666668</v>
      </c>
      <c r="E182" s="420">
        <v>0</v>
      </c>
      <c r="F182" s="155">
        <v>0</v>
      </c>
      <c r="G182" s="419">
        <v>0</v>
      </c>
      <c r="H182" s="269">
        <v>1157</v>
      </c>
      <c r="I182" s="15">
        <v>1466</v>
      </c>
      <c r="J182" s="331">
        <v>0.78922237380627558</v>
      </c>
      <c r="K182" s="427">
        <v>0.78955535510383645</v>
      </c>
      <c r="L182" s="434">
        <v>0.61470040699999995</v>
      </c>
      <c r="M182" s="14">
        <f>Lisäosat[[#This Row],[HYTE-kerroin (sis. Kulttuurihyte)]]*Lisäosat[[#This Row],[Asukasmäärä 31.12.2023]]</f>
        <v>2683.7819769619996</v>
      </c>
      <c r="N182" s="427">
        <f>Lisäosat[[#This Row],[HYTE-kerroin (sis. Kulttuurihyte)]]/$N$7</f>
        <v>0.91022104704947848</v>
      </c>
      <c r="O182" s="439">
        <v>0</v>
      </c>
      <c r="P182" s="197">
        <v>571498.44898049999</v>
      </c>
      <c r="Q182" s="159">
        <v>0</v>
      </c>
      <c r="R182" s="159">
        <v>46571.654171979062</v>
      </c>
      <c r="S182" s="159">
        <v>79122.839570132841</v>
      </c>
      <c r="T182" s="159">
        <v>0</v>
      </c>
      <c r="U182" s="309">
        <f t="shared" si="3"/>
        <v>697192.94272261183</v>
      </c>
      <c r="V182" s="44"/>
      <c r="W182" s="44"/>
      <c r="X182" s="110"/>
      <c r="Y182" s="110"/>
      <c r="Z182" s="111"/>
    </row>
    <row r="183" spans="1:26" s="45" customFormat="1">
      <c r="A183" s="127">
        <v>581</v>
      </c>
      <c r="B183" s="124" t="s">
        <v>187</v>
      </c>
      <c r="C183" s="408">
        <v>6123</v>
      </c>
      <c r="D183" s="412">
        <v>0.81511666666666671</v>
      </c>
      <c r="E183" s="420">
        <v>0</v>
      </c>
      <c r="F183" s="155">
        <v>0</v>
      </c>
      <c r="G183" s="419">
        <v>0</v>
      </c>
      <c r="H183" s="269">
        <v>2383</v>
      </c>
      <c r="I183" s="15">
        <v>2240</v>
      </c>
      <c r="J183" s="331">
        <v>1.0638392857142858</v>
      </c>
      <c r="K183" s="427">
        <v>1.0642881308021979</v>
      </c>
      <c r="L183" s="434">
        <v>0.54475588200000002</v>
      </c>
      <c r="M183" s="14">
        <f>Lisäosat[[#This Row],[HYTE-kerroin (sis. Kulttuurihyte)]]*Lisäosat[[#This Row],[Asukasmäärä 31.12.2023]]</f>
        <v>3335.540265486</v>
      </c>
      <c r="N183" s="427">
        <f>Lisäosat[[#This Row],[HYTE-kerroin (sis. Kulttuurihyte)]]/$N$7</f>
        <v>0.806650302576426</v>
      </c>
      <c r="O183" s="439">
        <v>0</v>
      </c>
      <c r="P183" s="197">
        <v>322066.60685550002</v>
      </c>
      <c r="Q183" s="159">
        <v>0</v>
      </c>
      <c r="R183" s="159">
        <v>88039.755398424095</v>
      </c>
      <c r="S183" s="159">
        <v>98337.875271268334</v>
      </c>
      <c r="T183" s="159">
        <v>0</v>
      </c>
      <c r="U183" s="309">
        <f t="shared" si="3"/>
        <v>508444.23752519244</v>
      </c>
      <c r="V183" s="44"/>
      <c r="W183" s="44"/>
      <c r="X183" s="110"/>
      <c r="Y183" s="110"/>
      <c r="Z183" s="111"/>
    </row>
    <row r="184" spans="1:26" s="45" customFormat="1">
      <c r="A184" s="127">
        <v>583</v>
      </c>
      <c r="B184" s="124" t="s">
        <v>188</v>
      </c>
      <c r="C184" s="408">
        <v>912</v>
      </c>
      <c r="D184" s="412">
        <v>1.8659666666666666</v>
      </c>
      <c r="E184" s="420">
        <v>0</v>
      </c>
      <c r="F184" s="155">
        <v>0</v>
      </c>
      <c r="G184" s="419">
        <v>0</v>
      </c>
      <c r="H184" s="269">
        <v>422</v>
      </c>
      <c r="I184" s="15">
        <v>364</v>
      </c>
      <c r="J184" s="331">
        <v>1.1593406593406594</v>
      </c>
      <c r="K184" s="427">
        <v>1.159829797471907</v>
      </c>
      <c r="L184" s="434">
        <v>0.58077553199999998</v>
      </c>
      <c r="M184" s="14">
        <f>Lisäosat[[#This Row],[HYTE-kerroin (sis. Kulttuurihyte)]]*Lisäosat[[#This Row],[Asukasmäärä 31.12.2023]]</f>
        <v>529.66728518399998</v>
      </c>
      <c r="N184" s="427">
        <f>Lisäosat[[#This Row],[HYTE-kerroin (sis. Kulttuurihyte)]]/$N$7</f>
        <v>0.85998659967986313</v>
      </c>
      <c r="O184" s="439">
        <v>0</v>
      </c>
      <c r="P184" s="197">
        <v>329444.02814399998</v>
      </c>
      <c r="Q184" s="159">
        <v>0</v>
      </c>
      <c r="R184" s="159">
        <v>14290.402114227063</v>
      </c>
      <c r="S184" s="159">
        <v>15615.567878058981</v>
      </c>
      <c r="T184" s="159">
        <v>0</v>
      </c>
      <c r="U184" s="309">
        <f t="shared" si="3"/>
        <v>359349.99813628604</v>
      </c>
      <c r="V184" s="44"/>
      <c r="W184" s="44"/>
      <c r="X184" s="110"/>
      <c r="Y184" s="110"/>
      <c r="Z184" s="111"/>
    </row>
    <row r="185" spans="1:26" s="45" customFormat="1">
      <c r="A185" s="127">
        <v>584</v>
      </c>
      <c r="B185" s="124" t="s">
        <v>189</v>
      </c>
      <c r="C185" s="408">
        <v>2578</v>
      </c>
      <c r="D185" s="412">
        <v>1.371</v>
      </c>
      <c r="E185" s="420">
        <v>0</v>
      </c>
      <c r="F185" s="155">
        <v>0</v>
      </c>
      <c r="G185" s="419">
        <v>0</v>
      </c>
      <c r="H185" s="269">
        <v>864</v>
      </c>
      <c r="I185" s="15">
        <v>894</v>
      </c>
      <c r="J185" s="331">
        <v>0.96644295302013428</v>
      </c>
      <c r="K185" s="427">
        <v>0.96685070556136443</v>
      </c>
      <c r="L185" s="434">
        <v>0.46746925499999997</v>
      </c>
      <c r="M185" s="14">
        <f>Lisäosat[[#This Row],[HYTE-kerroin (sis. Kulttuurihyte)]]*Lisäosat[[#This Row],[Asukasmäärä 31.12.2023]]</f>
        <v>1205.13573939</v>
      </c>
      <c r="N185" s="427">
        <f>Lisäosat[[#This Row],[HYTE-kerroin (sis. Kulttuurihyte)]]/$N$7</f>
        <v>0.69220769972507867</v>
      </c>
      <c r="O185" s="439">
        <v>0</v>
      </c>
      <c r="P185" s="197">
        <v>342115.92621000001</v>
      </c>
      <c r="Q185" s="159">
        <v>0</v>
      </c>
      <c r="R185" s="159">
        <v>33674.230516841541</v>
      </c>
      <c r="S185" s="159">
        <v>35529.622967334843</v>
      </c>
      <c r="T185" s="159">
        <v>0</v>
      </c>
      <c r="U185" s="309">
        <f t="shared" si="3"/>
        <v>411319.7796941764</v>
      </c>
      <c r="V185" s="44"/>
      <c r="W185" s="44"/>
      <c r="X185" s="110"/>
      <c r="Y185" s="110"/>
      <c r="Z185" s="111"/>
    </row>
    <row r="186" spans="1:26" s="45" customFormat="1">
      <c r="A186" s="127">
        <v>588</v>
      </c>
      <c r="B186" s="124" t="s">
        <v>190</v>
      </c>
      <c r="C186" s="408">
        <v>1577</v>
      </c>
      <c r="D186" s="412">
        <v>1.2120333333333333</v>
      </c>
      <c r="E186" s="420">
        <v>0</v>
      </c>
      <c r="F186" s="155">
        <v>0</v>
      </c>
      <c r="G186" s="419">
        <v>0</v>
      </c>
      <c r="H186" s="269">
        <v>522</v>
      </c>
      <c r="I186" s="15">
        <v>547</v>
      </c>
      <c r="J186" s="331">
        <v>0.95429616087751368</v>
      </c>
      <c r="K186" s="427">
        <v>0.95469878855819357</v>
      </c>
      <c r="L186" s="434">
        <v>0.49182113900000002</v>
      </c>
      <c r="M186" s="14">
        <f>Lisäosat[[#This Row],[HYTE-kerroin (sis. Kulttuurihyte)]]*Lisäosat[[#This Row],[Asukasmäärä 31.12.2023]]</f>
        <v>775.60193620300004</v>
      </c>
      <c r="N186" s="427">
        <f>Lisäosat[[#This Row],[HYTE-kerroin (sis. Kulttuurihyte)]]/$N$7</f>
        <v>0.72826688741991863</v>
      </c>
      <c r="O186" s="439">
        <v>0</v>
      </c>
      <c r="P186" s="197">
        <v>185011.69477049998</v>
      </c>
      <c r="Q186" s="159">
        <v>0</v>
      </c>
      <c r="R186" s="159">
        <v>20340.115458905224</v>
      </c>
      <c r="S186" s="159">
        <v>22866.174709892723</v>
      </c>
      <c r="T186" s="159">
        <v>0</v>
      </c>
      <c r="U186" s="309">
        <f t="shared" si="3"/>
        <v>228217.98493929792</v>
      </c>
      <c r="V186" s="44"/>
      <c r="W186" s="44"/>
      <c r="X186" s="110"/>
      <c r="Y186" s="110"/>
      <c r="Z186" s="111"/>
    </row>
    <row r="187" spans="1:26" s="45" customFormat="1">
      <c r="A187" s="127">
        <v>592</v>
      </c>
      <c r="B187" s="124" t="s">
        <v>191</v>
      </c>
      <c r="C187" s="408">
        <v>3596</v>
      </c>
      <c r="D187" s="412">
        <v>0.49086666666666667</v>
      </c>
      <c r="E187" s="420">
        <v>0</v>
      </c>
      <c r="F187" s="155">
        <v>1</v>
      </c>
      <c r="G187" s="419">
        <v>2.7808676307007786E-4</v>
      </c>
      <c r="H187" s="269">
        <v>794</v>
      </c>
      <c r="I187" s="15">
        <v>1477</v>
      </c>
      <c r="J187" s="331">
        <v>0.53757616790792151</v>
      </c>
      <c r="K187" s="427">
        <v>0.53780297699984381</v>
      </c>
      <c r="L187" s="434">
        <v>0.54338660900000002</v>
      </c>
      <c r="M187" s="14">
        <f>Lisäosat[[#This Row],[HYTE-kerroin (sis. Kulttuurihyte)]]*Lisäosat[[#This Row],[Asukasmäärä 31.12.2023]]</f>
        <v>1954.018245964</v>
      </c>
      <c r="N187" s="427">
        <f>Lisäosat[[#This Row],[HYTE-kerroin (sis. Kulttuurihyte)]]/$N$7</f>
        <v>0.80462274396484268</v>
      </c>
      <c r="O187" s="439">
        <v>0</v>
      </c>
      <c r="P187" s="197">
        <v>113905.551096</v>
      </c>
      <c r="Q187" s="159">
        <v>0</v>
      </c>
      <c r="R187" s="159">
        <v>26127.522716487332</v>
      </c>
      <c r="S187" s="159">
        <v>57608.059641094704</v>
      </c>
      <c r="T187" s="159">
        <v>0</v>
      </c>
      <c r="U187" s="309">
        <f t="shared" si="3"/>
        <v>197641.13345358204</v>
      </c>
      <c r="V187" s="44"/>
      <c r="W187" s="44"/>
      <c r="X187" s="110"/>
      <c r="Y187" s="110"/>
      <c r="Z187" s="111"/>
    </row>
    <row r="188" spans="1:26" s="45" customFormat="1">
      <c r="A188" s="127">
        <v>593</v>
      </c>
      <c r="B188" s="124" t="s">
        <v>192</v>
      </c>
      <c r="C188" s="408">
        <v>17050</v>
      </c>
      <c r="D188" s="412">
        <v>0</v>
      </c>
      <c r="E188" s="420">
        <v>0</v>
      </c>
      <c r="F188" s="155">
        <v>1</v>
      </c>
      <c r="G188" s="419">
        <v>5.8651026392961877E-5</v>
      </c>
      <c r="H188" s="269">
        <v>6454</v>
      </c>
      <c r="I188" s="15">
        <v>6305</v>
      </c>
      <c r="J188" s="331">
        <v>1.0236320380650277</v>
      </c>
      <c r="K188" s="427">
        <v>1.0240639192883334</v>
      </c>
      <c r="L188" s="434">
        <v>0.68598811999999998</v>
      </c>
      <c r="M188" s="14">
        <f>Lisäosat[[#This Row],[HYTE-kerroin (sis. Kulttuurihyte)]]*Lisäosat[[#This Row],[Asukasmäärä 31.12.2023]]</f>
        <v>11696.097446</v>
      </c>
      <c r="N188" s="427">
        <f>Lisäosat[[#This Row],[HYTE-kerroin (sis. Kulttuurihyte)]]/$N$7</f>
        <v>1.0157807246252617</v>
      </c>
      <c r="O188" s="439">
        <v>0</v>
      </c>
      <c r="P188" s="197">
        <v>0</v>
      </c>
      <c r="Q188" s="159">
        <v>0</v>
      </c>
      <c r="R188" s="159">
        <v>235888.51552043081</v>
      </c>
      <c r="S188" s="159">
        <v>344822.51157527673</v>
      </c>
      <c r="T188" s="159">
        <v>0</v>
      </c>
      <c r="U188" s="309">
        <f t="shared" si="3"/>
        <v>580711.0270957076</v>
      </c>
      <c r="V188" s="44"/>
      <c r="W188" s="44"/>
      <c r="X188" s="110"/>
      <c r="Y188" s="110"/>
      <c r="Z188" s="111"/>
    </row>
    <row r="189" spans="1:26" s="45" customFormat="1">
      <c r="A189" s="127">
        <v>595</v>
      </c>
      <c r="B189" s="124" t="s">
        <v>193</v>
      </c>
      <c r="C189" s="408">
        <v>4073</v>
      </c>
      <c r="D189" s="412">
        <v>1.3087</v>
      </c>
      <c r="E189" s="420">
        <v>0</v>
      </c>
      <c r="F189" s="155">
        <v>0</v>
      </c>
      <c r="G189" s="419">
        <v>0</v>
      </c>
      <c r="H189" s="269">
        <v>1146</v>
      </c>
      <c r="I189" s="15">
        <v>1350</v>
      </c>
      <c r="J189" s="331">
        <v>0.84888888888888892</v>
      </c>
      <c r="K189" s="427">
        <v>0.84924704412255769</v>
      </c>
      <c r="L189" s="434">
        <v>0.64897342300000005</v>
      </c>
      <c r="M189" s="14">
        <f>Lisäosat[[#This Row],[HYTE-kerroin (sis. Kulttuurihyte)]]*Lisäosat[[#This Row],[Asukasmäärä 31.12.2023]]</f>
        <v>2643.2687518790003</v>
      </c>
      <c r="N189" s="427">
        <f>Lisäosat[[#This Row],[HYTE-kerroin (sis. Kulttuurihyte)]]/$N$7</f>
        <v>0.96097100614144249</v>
      </c>
      <c r="O189" s="439">
        <v>0</v>
      </c>
      <c r="P189" s="197">
        <v>515949.7860045</v>
      </c>
      <c r="Q189" s="159">
        <v>0</v>
      </c>
      <c r="R189" s="159">
        <v>46730.863176708008</v>
      </c>
      <c r="S189" s="159">
        <v>77928.435018560645</v>
      </c>
      <c r="T189" s="159">
        <v>0</v>
      </c>
      <c r="U189" s="309">
        <f t="shared" si="3"/>
        <v>640609.08419976861</v>
      </c>
      <c r="V189" s="44"/>
      <c r="W189" s="44"/>
      <c r="X189" s="110"/>
      <c r="Y189" s="110"/>
      <c r="Z189" s="111"/>
    </row>
    <row r="190" spans="1:26" s="45" customFormat="1">
      <c r="A190" s="127">
        <v>598</v>
      </c>
      <c r="B190" s="124" t="s">
        <v>194</v>
      </c>
      <c r="C190" s="408">
        <v>19475</v>
      </c>
      <c r="D190" s="412">
        <v>0</v>
      </c>
      <c r="E190" s="420">
        <v>0</v>
      </c>
      <c r="F190" s="155">
        <v>1</v>
      </c>
      <c r="G190" s="419">
        <v>5.1347881899871633E-5</v>
      </c>
      <c r="H190" s="269">
        <v>11158</v>
      </c>
      <c r="I190" s="15">
        <v>8158</v>
      </c>
      <c r="J190" s="331">
        <v>1.3677371904878646</v>
      </c>
      <c r="K190" s="427">
        <v>1.3683142533278527</v>
      </c>
      <c r="L190" s="434">
        <v>0.48874512799999997</v>
      </c>
      <c r="M190" s="14">
        <f>Lisäosat[[#This Row],[HYTE-kerroin (sis. Kulttuurihyte)]]*Lisäosat[[#This Row],[Asukasmäärä 31.12.2023]]</f>
        <v>9518.3113677999991</v>
      </c>
      <c r="N190" s="427">
        <f>Lisäosat[[#This Row],[HYTE-kerroin (sis. Kulttuurihyte)]]/$N$7</f>
        <v>0.72371206702079083</v>
      </c>
      <c r="O190" s="439">
        <v>0.71130814050535118</v>
      </c>
      <c r="P190" s="197">
        <v>0</v>
      </c>
      <c r="Q190" s="159">
        <v>0</v>
      </c>
      <c r="R190" s="159">
        <v>360013.40032889467</v>
      </c>
      <c r="S190" s="159">
        <v>280617.36377912736</v>
      </c>
      <c r="T190" s="159">
        <v>146284.7869437685</v>
      </c>
      <c r="U190" s="309">
        <f t="shared" si="3"/>
        <v>786915.55105179048</v>
      </c>
      <c r="V190" s="44"/>
      <c r="W190" s="44"/>
      <c r="X190" s="110"/>
      <c r="Y190" s="110"/>
      <c r="Z190" s="111"/>
    </row>
    <row r="191" spans="1:26" s="45" customFormat="1">
      <c r="A191" s="127">
        <v>599</v>
      </c>
      <c r="B191" s="124" t="s">
        <v>195</v>
      </c>
      <c r="C191" s="408">
        <v>11225</v>
      </c>
      <c r="D191" s="412">
        <v>0</v>
      </c>
      <c r="E191" s="420">
        <v>0</v>
      </c>
      <c r="F191" s="155">
        <v>0</v>
      </c>
      <c r="G191" s="419">
        <v>0</v>
      </c>
      <c r="H191" s="269">
        <v>4493</v>
      </c>
      <c r="I191" s="15">
        <v>5194</v>
      </c>
      <c r="J191" s="331">
        <v>0.86503658067000389</v>
      </c>
      <c r="K191" s="427">
        <v>0.86540154878625219</v>
      </c>
      <c r="L191" s="434">
        <v>0.67202247199999998</v>
      </c>
      <c r="M191" s="14">
        <f>Lisäosat[[#This Row],[HYTE-kerroin (sis. Kulttuurihyte)]]*Lisäosat[[#This Row],[Asukasmäärä 31.12.2023]]</f>
        <v>7543.4522482000002</v>
      </c>
      <c r="N191" s="427">
        <f>Lisäosat[[#This Row],[HYTE-kerroin (sis. Kulttuurihyte)]]/$N$7</f>
        <v>0.99510101366277259</v>
      </c>
      <c r="O191" s="439">
        <v>0.1519951971748775</v>
      </c>
      <c r="P191" s="197">
        <v>0</v>
      </c>
      <c r="Q191" s="159">
        <v>0</v>
      </c>
      <c r="R191" s="159">
        <v>131237.92852304794</v>
      </c>
      <c r="S191" s="159">
        <v>222394.87676823963</v>
      </c>
      <c r="T191" s="159">
        <v>18016.90269232128</v>
      </c>
      <c r="U191" s="309">
        <f t="shared" si="3"/>
        <v>371649.70798360888</v>
      </c>
      <c r="V191" s="44"/>
      <c r="W191" s="44"/>
      <c r="X191" s="110"/>
      <c r="Y191" s="110"/>
      <c r="Z191" s="111"/>
    </row>
    <row r="192" spans="1:26" s="45" customFormat="1">
      <c r="A192" s="127">
        <v>601</v>
      </c>
      <c r="B192" s="124" t="s">
        <v>196</v>
      </c>
      <c r="C192" s="408">
        <v>3739</v>
      </c>
      <c r="D192" s="412">
        <v>1.4822833333333334</v>
      </c>
      <c r="E192" s="420">
        <v>0</v>
      </c>
      <c r="F192" s="155">
        <v>0</v>
      </c>
      <c r="G192" s="419">
        <v>0</v>
      </c>
      <c r="H192" s="269">
        <v>1268</v>
      </c>
      <c r="I192" s="15">
        <v>1374</v>
      </c>
      <c r="J192" s="331">
        <v>0.92285298398835514</v>
      </c>
      <c r="K192" s="427">
        <v>0.92324234545891803</v>
      </c>
      <c r="L192" s="434">
        <v>0.49410011399999998</v>
      </c>
      <c r="M192" s="14">
        <f>Lisäosat[[#This Row],[HYTE-kerroin (sis. Kulttuurihyte)]]*Lisäosat[[#This Row],[Asukasmäärä 31.12.2023]]</f>
        <v>1847.4403262459998</v>
      </c>
      <c r="N192" s="427">
        <f>Lisäosat[[#This Row],[HYTE-kerroin (sis. Kulttuurihyte)]]/$N$7</f>
        <v>0.73164149232838671</v>
      </c>
      <c r="O192" s="439">
        <v>0</v>
      </c>
      <c r="P192" s="197">
        <v>536462.80341974995</v>
      </c>
      <c r="Q192" s="159">
        <v>0</v>
      </c>
      <c r="R192" s="159">
        <v>46636.562281853781</v>
      </c>
      <c r="S192" s="159">
        <v>54465.946117733329</v>
      </c>
      <c r="T192" s="159">
        <v>0</v>
      </c>
      <c r="U192" s="309">
        <f t="shared" si="3"/>
        <v>637565.31181933708</v>
      </c>
      <c r="V192" s="44"/>
      <c r="W192" s="44"/>
      <c r="X192" s="110"/>
      <c r="Y192" s="110"/>
      <c r="Z192" s="111"/>
    </row>
    <row r="193" spans="1:26" s="45" customFormat="1">
      <c r="A193" s="127">
        <v>604</v>
      </c>
      <c r="B193" s="124" t="s">
        <v>197</v>
      </c>
      <c r="C193" s="408">
        <v>20763</v>
      </c>
      <c r="D193" s="412">
        <v>0</v>
      </c>
      <c r="E193" s="420">
        <v>0</v>
      </c>
      <c r="F193" s="155">
        <v>2</v>
      </c>
      <c r="G193" s="419">
        <v>9.6325193854452629E-5</v>
      </c>
      <c r="H193" s="269">
        <v>9966</v>
      </c>
      <c r="I193" s="15">
        <v>9844</v>
      </c>
      <c r="J193" s="331">
        <v>1.0123933360422592</v>
      </c>
      <c r="K193" s="427">
        <v>1.0128204755378762</v>
      </c>
      <c r="L193" s="434">
        <v>0.78346932199999997</v>
      </c>
      <c r="M193" s="14">
        <f>Lisäosat[[#This Row],[HYTE-kerroin (sis. Kulttuurihyte)]]*Lisäosat[[#This Row],[Asukasmäärä 31.12.2023]]</f>
        <v>16267.173532686</v>
      </c>
      <c r="N193" s="427">
        <f>Lisäosat[[#This Row],[HYTE-kerroin (sis. Kulttuurihyte)]]/$N$7</f>
        <v>1.1601265567439019</v>
      </c>
      <c r="O193" s="439">
        <v>1.5914577072316434</v>
      </c>
      <c r="P193" s="197">
        <v>0</v>
      </c>
      <c r="Q193" s="159">
        <v>0</v>
      </c>
      <c r="R193" s="159">
        <v>284104.37761884043</v>
      </c>
      <c r="S193" s="159">
        <v>479586.26026068209</v>
      </c>
      <c r="T193" s="159">
        <v>348938.68812264648</v>
      </c>
      <c r="U193" s="309">
        <f t="shared" si="3"/>
        <v>1112629.3260021689</v>
      </c>
      <c r="V193" s="44"/>
      <c r="W193" s="44"/>
      <c r="X193" s="110"/>
      <c r="Y193" s="110"/>
      <c r="Z193" s="111"/>
    </row>
    <row r="194" spans="1:26" s="45" customFormat="1">
      <c r="A194" s="127">
        <v>607</v>
      </c>
      <c r="B194" s="124" t="s">
        <v>198</v>
      </c>
      <c r="C194" s="408">
        <v>4064</v>
      </c>
      <c r="D194" s="412">
        <v>0.61786666666666668</v>
      </c>
      <c r="E194" s="420">
        <v>0</v>
      </c>
      <c r="F194" s="155">
        <v>0</v>
      </c>
      <c r="G194" s="419">
        <v>0</v>
      </c>
      <c r="H194" s="269">
        <v>1008</v>
      </c>
      <c r="I194" s="15">
        <v>1396</v>
      </c>
      <c r="J194" s="331">
        <v>0.72206303724928367</v>
      </c>
      <c r="K194" s="427">
        <v>0.72236768330981593</v>
      </c>
      <c r="L194" s="434">
        <v>0.66681154399999998</v>
      </c>
      <c r="M194" s="14">
        <f>Lisäosat[[#This Row],[HYTE-kerroin (sis. Kulttuurihyte)]]*Lisäosat[[#This Row],[Asukasmäärä 31.12.2023]]</f>
        <v>2709.922114816</v>
      </c>
      <c r="N194" s="427">
        <f>Lisäosat[[#This Row],[HYTE-kerroin (sis. Kulttuurihyte)]]/$N$7</f>
        <v>0.9873849030400258</v>
      </c>
      <c r="O194" s="439">
        <v>0</v>
      </c>
      <c r="P194" s="197">
        <v>162035.48390399999</v>
      </c>
      <c r="Q194" s="159">
        <v>0</v>
      </c>
      <c r="R194" s="159">
        <v>39661.337599759456</v>
      </c>
      <c r="S194" s="159">
        <v>79893.499016957372</v>
      </c>
      <c r="T194" s="159">
        <v>0</v>
      </c>
      <c r="U194" s="309">
        <f t="shared" si="3"/>
        <v>281590.32052071684</v>
      </c>
      <c r="V194" s="44"/>
      <c r="W194" s="44"/>
      <c r="X194" s="110"/>
      <c r="Y194" s="110"/>
      <c r="Z194" s="111"/>
    </row>
    <row r="195" spans="1:26" s="45" customFormat="1">
      <c r="A195" s="127">
        <v>608</v>
      </c>
      <c r="B195" s="124" t="s">
        <v>199</v>
      </c>
      <c r="C195" s="408">
        <v>1943</v>
      </c>
      <c r="D195" s="412">
        <v>0.1082</v>
      </c>
      <c r="E195" s="420">
        <v>0</v>
      </c>
      <c r="F195" s="155">
        <v>0</v>
      </c>
      <c r="G195" s="419">
        <v>0</v>
      </c>
      <c r="H195" s="269">
        <v>528</v>
      </c>
      <c r="I195" s="15">
        <v>720</v>
      </c>
      <c r="J195" s="331">
        <v>0.73333333333333328</v>
      </c>
      <c r="K195" s="427">
        <v>0.73364273445142414</v>
      </c>
      <c r="L195" s="434">
        <v>0.51160756200000002</v>
      </c>
      <c r="M195" s="14">
        <f>Lisäosat[[#This Row],[HYTE-kerroin (sis. Kulttuurihyte)]]*Lisäosat[[#This Row],[Asukasmäärä 31.12.2023]]</f>
        <v>994.05349296600002</v>
      </c>
      <c r="N195" s="427">
        <f>Lisäosat[[#This Row],[HYTE-kerroin (sis. Kulttuurihyte)]]/$N$7</f>
        <v>0.7575657433427907</v>
      </c>
      <c r="O195" s="439">
        <v>0</v>
      </c>
      <c r="P195" s="197">
        <v>13566.309678000001</v>
      </c>
      <c r="Q195" s="159">
        <v>0</v>
      </c>
      <c r="R195" s="159">
        <v>19258.07042435847</v>
      </c>
      <c r="S195" s="159">
        <v>29306.529264762496</v>
      </c>
      <c r="T195" s="159">
        <v>0</v>
      </c>
      <c r="U195" s="309">
        <f t="shared" si="3"/>
        <v>62130.909367120963</v>
      </c>
      <c r="V195" s="44"/>
      <c r="W195" s="44"/>
      <c r="X195" s="110"/>
      <c r="Y195" s="110"/>
      <c r="Z195" s="111"/>
    </row>
    <row r="196" spans="1:26" s="45" customFormat="1">
      <c r="A196" s="127">
        <v>609</v>
      </c>
      <c r="B196" s="124" t="s">
        <v>200</v>
      </c>
      <c r="C196" s="408">
        <v>83106</v>
      </c>
      <c r="D196" s="412">
        <v>0</v>
      </c>
      <c r="E196" s="420">
        <v>0</v>
      </c>
      <c r="F196" s="155">
        <v>1</v>
      </c>
      <c r="G196" s="419">
        <v>1.2032825548095204E-5</v>
      </c>
      <c r="H196" s="269">
        <v>34715</v>
      </c>
      <c r="I196" s="15">
        <v>33806</v>
      </c>
      <c r="J196" s="331">
        <v>1.0268887179790569</v>
      </c>
      <c r="K196" s="427">
        <v>1.0273219732301899</v>
      </c>
      <c r="L196" s="434">
        <v>0.69292275400000003</v>
      </c>
      <c r="M196" s="14">
        <f>Lisäosat[[#This Row],[HYTE-kerroin (sis. Kulttuurihyte)]]*Lisäosat[[#This Row],[Asukasmäärä 31.12.2023]]</f>
        <v>57586.038393924006</v>
      </c>
      <c r="N196" s="427">
        <f>Lisäosat[[#This Row],[HYTE-kerroin (sis. Kulttuurihyte)]]/$N$7</f>
        <v>1.0260492224959405</v>
      </c>
      <c r="O196" s="439">
        <v>0</v>
      </c>
      <c r="P196" s="197">
        <v>0</v>
      </c>
      <c r="Q196" s="159">
        <v>0</v>
      </c>
      <c r="R196" s="159">
        <v>1153438.1349471929</v>
      </c>
      <c r="S196" s="159">
        <v>1697742.5574933256</v>
      </c>
      <c r="T196" s="159">
        <v>0</v>
      </c>
      <c r="U196" s="309">
        <f t="shared" si="3"/>
        <v>2851180.6924405182</v>
      </c>
      <c r="V196" s="44"/>
      <c r="W196" s="44"/>
      <c r="X196" s="110"/>
      <c r="Y196" s="110"/>
      <c r="Z196" s="111"/>
    </row>
    <row r="197" spans="1:26" s="45" customFormat="1">
      <c r="A197" s="127">
        <v>611</v>
      </c>
      <c r="B197" s="124" t="s">
        <v>201</v>
      </c>
      <c r="C197" s="408">
        <v>4973</v>
      </c>
      <c r="D197" s="412">
        <v>0</v>
      </c>
      <c r="E197" s="420">
        <v>0</v>
      </c>
      <c r="F197" s="155">
        <v>0</v>
      </c>
      <c r="G197" s="419">
        <v>0</v>
      </c>
      <c r="H197" s="269">
        <v>1036</v>
      </c>
      <c r="I197" s="15">
        <v>2479</v>
      </c>
      <c r="J197" s="331">
        <v>0.41791044776119401</v>
      </c>
      <c r="K197" s="427">
        <v>0.41808676861546556</v>
      </c>
      <c r="L197" s="434">
        <v>0.59921815199999995</v>
      </c>
      <c r="M197" s="14">
        <f>Lisäosat[[#This Row],[HYTE-kerroin (sis. Kulttuurihyte)]]*Lisäosat[[#This Row],[Asukasmäärä 31.12.2023]]</f>
        <v>2979.9118698959996</v>
      </c>
      <c r="N197" s="427">
        <f>Lisäosat[[#This Row],[HYTE-kerroin (sis. Kulttuurihyte)]]/$N$7</f>
        <v>0.88729561183533356</v>
      </c>
      <c r="O197" s="439">
        <v>0</v>
      </c>
      <c r="P197" s="197">
        <v>0</v>
      </c>
      <c r="Q197" s="159">
        <v>0</v>
      </c>
      <c r="R197" s="159">
        <v>28089.255709386834</v>
      </c>
      <c r="S197" s="159">
        <v>87853.294656153143</v>
      </c>
      <c r="T197" s="159">
        <v>0</v>
      </c>
      <c r="U197" s="309">
        <f t="shared" si="3"/>
        <v>115942.55036553998</v>
      </c>
      <c r="V197" s="44"/>
      <c r="W197" s="44"/>
      <c r="X197" s="110"/>
      <c r="Y197" s="110"/>
      <c r="Z197" s="111"/>
    </row>
    <row r="198" spans="1:26" s="45" customFormat="1">
      <c r="A198" s="127">
        <v>614</v>
      </c>
      <c r="B198" s="124" t="s">
        <v>202</v>
      </c>
      <c r="C198" s="408">
        <v>2923</v>
      </c>
      <c r="D198" s="412">
        <v>1.8032166666666667</v>
      </c>
      <c r="E198" s="420">
        <v>0</v>
      </c>
      <c r="F198" s="155">
        <v>0</v>
      </c>
      <c r="G198" s="419">
        <v>0</v>
      </c>
      <c r="H198" s="269">
        <v>863</v>
      </c>
      <c r="I198" s="15">
        <v>982</v>
      </c>
      <c r="J198" s="331">
        <v>0.87881873727087578</v>
      </c>
      <c r="K198" s="427">
        <v>0.87918952022529961</v>
      </c>
      <c r="L198" s="434">
        <v>0.67133908899999994</v>
      </c>
      <c r="M198" s="14">
        <f>Lisäosat[[#This Row],[HYTE-kerroin (sis. Kulttuurihyte)]]*Lisäosat[[#This Row],[Asukasmäärä 31.12.2023]]</f>
        <v>1962.3241571469998</v>
      </c>
      <c r="N198" s="427">
        <f>Lisäosat[[#This Row],[HYTE-kerroin (sis. Kulttuurihyte)]]/$N$7</f>
        <v>0.99408909048407867</v>
      </c>
      <c r="O198" s="439">
        <v>0</v>
      </c>
      <c r="P198" s="197">
        <v>1020374.6204835002</v>
      </c>
      <c r="Q198" s="159">
        <v>0</v>
      </c>
      <c r="R198" s="159">
        <v>34718.956772526624</v>
      </c>
      <c r="S198" s="159">
        <v>57852.933212665594</v>
      </c>
      <c r="T198" s="159">
        <v>0</v>
      </c>
      <c r="U198" s="309">
        <f t="shared" si="3"/>
        <v>1112946.5104686925</v>
      </c>
      <c r="V198" s="44"/>
      <c r="W198" s="44"/>
      <c r="X198" s="110"/>
      <c r="Y198" s="110"/>
      <c r="Z198" s="111"/>
    </row>
    <row r="199" spans="1:26" s="45" customFormat="1">
      <c r="A199" s="127">
        <v>615</v>
      </c>
      <c r="B199" s="124" t="s">
        <v>203</v>
      </c>
      <c r="C199" s="408">
        <v>7479</v>
      </c>
      <c r="D199" s="412">
        <v>1.5287166666666667</v>
      </c>
      <c r="E199" s="420">
        <v>0</v>
      </c>
      <c r="F199" s="155">
        <v>1</v>
      </c>
      <c r="G199" s="419">
        <v>1.3370771493515177E-4</v>
      </c>
      <c r="H199" s="269">
        <v>2463</v>
      </c>
      <c r="I199" s="15">
        <v>2409</v>
      </c>
      <c r="J199" s="331">
        <v>1.0224159402241595</v>
      </c>
      <c r="K199" s="427">
        <v>1.0228473083628766</v>
      </c>
      <c r="L199" s="434">
        <v>0.50317453300000003</v>
      </c>
      <c r="M199" s="14">
        <f>Lisäosat[[#This Row],[HYTE-kerroin (sis. Kulttuurihyte)]]*Lisäosat[[#This Row],[Asukasmäärä 31.12.2023]]</f>
        <v>3763.2423323070002</v>
      </c>
      <c r="N199" s="427">
        <f>Lisäosat[[#This Row],[HYTE-kerroin (sis. Kulttuurihyte)]]/$N$7</f>
        <v>0.74507848874076377</v>
      </c>
      <c r="O199" s="439">
        <v>0</v>
      </c>
      <c r="P199" s="197">
        <v>2213367.1168005001</v>
      </c>
      <c r="Q199" s="159">
        <v>0</v>
      </c>
      <c r="R199" s="159">
        <v>103349.81151001285</v>
      </c>
      <c r="S199" s="159">
        <v>110947.32056428715</v>
      </c>
      <c r="T199" s="159">
        <v>0</v>
      </c>
      <c r="U199" s="309">
        <f t="shared" si="3"/>
        <v>2427664.2488748003</v>
      </c>
      <c r="V199" s="44"/>
      <c r="W199" s="44"/>
      <c r="X199" s="110"/>
      <c r="Y199" s="110"/>
      <c r="Z199" s="111"/>
    </row>
    <row r="200" spans="1:26" s="45" customFormat="1">
      <c r="A200" s="127">
        <v>616</v>
      </c>
      <c r="B200" s="124" t="s">
        <v>204</v>
      </c>
      <c r="C200" s="408">
        <v>1781</v>
      </c>
      <c r="D200" s="412">
        <v>0</v>
      </c>
      <c r="E200" s="420">
        <v>0</v>
      </c>
      <c r="F200" s="155">
        <v>0</v>
      </c>
      <c r="G200" s="419">
        <v>0</v>
      </c>
      <c r="H200" s="269">
        <v>490</v>
      </c>
      <c r="I200" s="15">
        <v>817</v>
      </c>
      <c r="J200" s="331">
        <v>0.59975520195838439</v>
      </c>
      <c r="K200" s="427">
        <v>0.60000824504483896</v>
      </c>
      <c r="L200" s="434">
        <v>0.60515138300000004</v>
      </c>
      <c r="M200" s="14">
        <f>Lisäosat[[#This Row],[HYTE-kerroin (sis. Kulttuurihyte)]]*Lisäosat[[#This Row],[Asukasmäärä 31.12.2023]]</f>
        <v>1077.7746131230001</v>
      </c>
      <c r="N200" s="427">
        <f>Lisäosat[[#This Row],[HYTE-kerroin (sis. Kulttuurihyte)]]/$N$7</f>
        <v>0.89608127664327386</v>
      </c>
      <c r="O200" s="439">
        <v>0</v>
      </c>
      <c r="P200" s="197">
        <v>0</v>
      </c>
      <c r="Q200" s="159">
        <v>0</v>
      </c>
      <c r="R200" s="159">
        <v>14436.984386579836</v>
      </c>
      <c r="S200" s="159">
        <v>31774.782206200263</v>
      </c>
      <c r="T200" s="159">
        <v>0</v>
      </c>
      <c r="U200" s="309">
        <f t="shared" si="3"/>
        <v>46211.766592780099</v>
      </c>
      <c r="V200" s="44"/>
      <c r="W200" s="44"/>
      <c r="X200" s="110"/>
      <c r="Y200" s="110"/>
      <c r="Z200" s="111"/>
    </row>
    <row r="201" spans="1:26" s="45" customFormat="1">
      <c r="A201" s="127">
        <v>619</v>
      </c>
      <c r="B201" s="124" t="s">
        <v>205</v>
      </c>
      <c r="C201" s="408">
        <v>2650</v>
      </c>
      <c r="D201" s="412">
        <v>0.47946666666666665</v>
      </c>
      <c r="E201" s="420">
        <v>0</v>
      </c>
      <c r="F201" s="155">
        <v>0</v>
      </c>
      <c r="G201" s="419">
        <v>0</v>
      </c>
      <c r="H201" s="269">
        <v>734</v>
      </c>
      <c r="I201" s="15">
        <v>950</v>
      </c>
      <c r="J201" s="331">
        <v>0.77263157894736845</v>
      </c>
      <c r="K201" s="427">
        <v>0.77295756041245745</v>
      </c>
      <c r="L201" s="434">
        <v>0.61993547100000002</v>
      </c>
      <c r="M201" s="14">
        <f>Lisäosat[[#This Row],[HYTE-kerroin (sis. Kulttuurihyte)]]*Lisäosat[[#This Row],[Asukasmäärä 31.12.2023]]</f>
        <v>1642.82899815</v>
      </c>
      <c r="N201" s="427">
        <f>Lisäosat[[#This Row],[HYTE-kerroin (sis. Kulttuurihyte)]]/$N$7</f>
        <v>0.91797289718848618</v>
      </c>
      <c r="O201" s="439">
        <v>0</v>
      </c>
      <c r="P201" s="197">
        <v>81990.957599999994</v>
      </c>
      <c r="Q201" s="159">
        <v>0</v>
      </c>
      <c r="R201" s="159">
        <v>27673.040099106594</v>
      </c>
      <c r="S201" s="159">
        <v>48433.627015010316</v>
      </c>
      <c r="T201" s="159">
        <v>0</v>
      </c>
      <c r="U201" s="309">
        <f t="shared" ref="U201:U264" si="4">SUM(P201:T201)</f>
        <v>158097.62471411692</v>
      </c>
      <c r="V201" s="44"/>
      <c r="W201" s="44"/>
      <c r="X201" s="110"/>
      <c r="Y201" s="110"/>
      <c r="Z201" s="111"/>
    </row>
    <row r="202" spans="1:26" s="45" customFormat="1">
      <c r="A202" s="127">
        <v>620</v>
      </c>
      <c r="B202" s="124" t="s">
        <v>206</v>
      </c>
      <c r="C202" s="408">
        <v>2359</v>
      </c>
      <c r="D202" s="412">
        <v>1.79895</v>
      </c>
      <c r="E202" s="420">
        <v>0</v>
      </c>
      <c r="F202" s="155">
        <v>1</v>
      </c>
      <c r="G202" s="419">
        <v>4.2390843577787198E-4</v>
      </c>
      <c r="H202" s="269">
        <v>609</v>
      </c>
      <c r="I202" s="15">
        <v>680</v>
      </c>
      <c r="J202" s="331">
        <v>0.89558823529411768</v>
      </c>
      <c r="K202" s="427">
        <v>0.89596609347777545</v>
      </c>
      <c r="L202" s="434">
        <v>0.46472745100000001</v>
      </c>
      <c r="M202" s="14">
        <f>Lisäosat[[#This Row],[HYTE-kerroin (sis. Kulttuurihyte)]]*Lisäosat[[#This Row],[Asukasmäärä 31.12.2023]]</f>
        <v>1096.2920569089999</v>
      </c>
      <c r="N202" s="427">
        <f>Lisäosat[[#This Row],[HYTE-kerroin (sis. Kulttuurihyte)]]/$N$7</f>
        <v>0.68814775820028895</v>
      </c>
      <c r="O202" s="439">
        <v>0</v>
      </c>
      <c r="P202" s="197">
        <v>821542.34524950013</v>
      </c>
      <c r="Q202" s="159">
        <v>0</v>
      </c>
      <c r="R202" s="159">
        <v>28554.520036085116</v>
      </c>
      <c r="S202" s="159">
        <v>32320.710581346131</v>
      </c>
      <c r="T202" s="159">
        <v>0</v>
      </c>
      <c r="U202" s="309">
        <f t="shared" si="4"/>
        <v>882417.57586693147</v>
      </c>
      <c r="V202" s="44"/>
      <c r="W202" s="44"/>
      <c r="X202" s="110"/>
      <c r="Y202" s="110"/>
      <c r="Z202" s="111"/>
    </row>
    <row r="203" spans="1:26" s="45" customFormat="1">
      <c r="A203" s="127">
        <v>623</v>
      </c>
      <c r="B203" s="124" t="s">
        <v>207</v>
      </c>
      <c r="C203" s="408">
        <v>2108</v>
      </c>
      <c r="D203" s="412">
        <v>1.7429666666666668</v>
      </c>
      <c r="E203" s="420">
        <v>0</v>
      </c>
      <c r="F203" s="155">
        <v>0</v>
      </c>
      <c r="G203" s="419">
        <v>0</v>
      </c>
      <c r="H203" s="269">
        <v>597</v>
      </c>
      <c r="I203" s="15">
        <v>755</v>
      </c>
      <c r="J203" s="331">
        <v>0.79072847682119207</v>
      </c>
      <c r="K203" s="427">
        <v>0.79106209355960311</v>
      </c>
      <c r="L203" s="434">
        <v>0.53641602899999996</v>
      </c>
      <c r="M203" s="14">
        <f>Lisäosat[[#This Row],[HYTE-kerroin (sis. Kulttuurihyte)]]*Lisäosat[[#This Row],[Asukasmäärä 31.12.2023]]</f>
        <v>1130.764989132</v>
      </c>
      <c r="N203" s="427">
        <f>Lisäosat[[#This Row],[HYTE-kerroin (sis. Kulttuurihyte)]]/$N$7</f>
        <v>0.7943010188547075</v>
      </c>
      <c r="O203" s="439">
        <v>0</v>
      </c>
      <c r="P203" s="197">
        <v>711283.2930360001</v>
      </c>
      <c r="Q203" s="159">
        <v>0</v>
      </c>
      <c r="R203" s="159">
        <v>22528.720647451421</v>
      </c>
      <c r="S203" s="159">
        <v>33337.036165617355</v>
      </c>
      <c r="T203" s="159">
        <v>0</v>
      </c>
      <c r="U203" s="309">
        <f t="shared" si="4"/>
        <v>767149.04984906898</v>
      </c>
      <c r="V203" s="44"/>
      <c r="W203" s="44"/>
      <c r="X203" s="110"/>
      <c r="Y203" s="110"/>
      <c r="Z203" s="111"/>
    </row>
    <row r="204" spans="1:26" s="45" customFormat="1">
      <c r="A204" s="127">
        <v>624</v>
      </c>
      <c r="B204" s="124" t="s">
        <v>208</v>
      </c>
      <c r="C204" s="408">
        <v>5065</v>
      </c>
      <c r="D204" s="412">
        <v>0</v>
      </c>
      <c r="E204" s="420">
        <v>0</v>
      </c>
      <c r="F204" s="155">
        <v>0</v>
      </c>
      <c r="G204" s="419">
        <v>0</v>
      </c>
      <c r="H204" s="269">
        <v>1007</v>
      </c>
      <c r="I204" s="15">
        <v>2126</v>
      </c>
      <c r="J204" s="331">
        <v>0.47365945437441204</v>
      </c>
      <c r="K204" s="427">
        <v>0.47385929632638168</v>
      </c>
      <c r="L204" s="434">
        <v>0.66424201299999996</v>
      </c>
      <c r="M204" s="14">
        <f>Lisäosat[[#This Row],[HYTE-kerroin (sis. Kulttuurihyte)]]*Lisäosat[[#This Row],[Asukasmäärä 31.12.2023]]</f>
        <v>3364.3857958449998</v>
      </c>
      <c r="N204" s="427">
        <f>Lisäosat[[#This Row],[HYTE-kerroin (sis. Kulttuurihyte)]]/$N$7</f>
        <v>0.98358005571828633</v>
      </c>
      <c r="O204" s="439">
        <v>0</v>
      </c>
      <c r="P204" s="197">
        <v>0</v>
      </c>
      <c r="Q204" s="159">
        <v>0</v>
      </c>
      <c r="R204" s="159">
        <v>32425.315007916095</v>
      </c>
      <c r="S204" s="159">
        <v>99188.294675863217</v>
      </c>
      <c r="T204" s="159">
        <v>0</v>
      </c>
      <c r="U204" s="309">
        <f t="shared" si="4"/>
        <v>131613.6096837793</v>
      </c>
      <c r="V204" s="44"/>
      <c r="W204" s="44"/>
      <c r="X204" s="110"/>
      <c r="Y204" s="110"/>
      <c r="Z204" s="111"/>
    </row>
    <row r="205" spans="1:26" s="45" customFormat="1">
      <c r="A205" s="127">
        <v>625</v>
      </c>
      <c r="B205" s="124" t="s">
        <v>209</v>
      </c>
      <c r="C205" s="408">
        <v>2980</v>
      </c>
      <c r="D205" s="412">
        <v>0.87180000000000002</v>
      </c>
      <c r="E205" s="420">
        <v>0</v>
      </c>
      <c r="F205" s="155">
        <v>0</v>
      </c>
      <c r="G205" s="419">
        <v>0</v>
      </c>
      <c r="H205" s="269">
        <v>783</v>
      </c>
      <c r="I205" s="15">
        <v>1114</v>
      </c>
      <c r="J205" s="331">
        <v>0.70287253141831241</v>
      </c>
      <c r="K205" s="427">
        <v>0.70316908080071627</v>
      </c>
      <c r="L205" s="434">
        <v>0.50847589800000004</v>
      </c>
      <c r="M205" s="14">
        <f>Lisäosat[[#This Row],[HYTE-kerroin (sis. Kulttuurihyte)]]*Lisäosat[[#This Row],[Asukasmäärä 31.12.2023]]</f>
        <v>1515.2581760400001</v>
      </c>
      <c r="N205" s="427">
        <f>Lisäosat[[#This Row],[HYTE-kerroin (sis. Kulttuurihyte)]]/$N$7</f>
        <v>0.75292851445433295</v>
      </c>
      <c r="O205" s="439">
        <v>0</v>
      </c>
      <c r="P205" s="197">
        <v>167646.61692</v>
      </c>
      <c r="Q205" s="159">
        <v>0</v>
      </c>
      <c r="R205" s="159">
        <v>28309.446559220676</v>
      </c>
      <c r="S205" s="159">
        <v>44672.604033901589</v>
      </c>
      <c r="T205" s="159">
        <v>0</v>
      </c>
      <c r="U205" s="309">
        <f t="shared" si="4"/>
        <v>240628.66751312226</v>
      </c>
      <c r="V205" s="44"/>
      <c r="W205" s="44"/>
      <c r="X205" s="110"/>
      <c r="Y205" s="110"/>
      <c r="Z205" s="111"/>
    </row>
    <row r="206" spans="1:26" s="45" customFormat="1">
      <c r="A206" s="127">
        <v>626</v>
      </c>
      <c r="B206" s="124" t="s">
        <v>210</v>
      </c>
      <c r="C206" s="408">
        <v>4756</v>
      </c>
      <c r="D206" s="412">
        <v>1.2624333333333335</v>
      </c>
      <c r="E206" s="420">
        <v>0</v>
      </c>
      <c r="F206" s="155">
        <v>0</v>
      </c>
      <c r="G206" s="419">
        <v>0</v>
      </c>
      <c r="H206" s="269">
        <v>1445</v>
      </c>
      <c r="I206" s="15">
        <v>1572</v>
      </c>
      <c r="J206" s="331">
        <v>0.91921119592875322</v>
      </c>
      <c r="K206" s="427">
        <v>0.91959902089027412</v>
      </c>
      <c r="L206" s="434">
        <v>0.73196713199999996</v>
      </c>
      <c r="M206" s="14">
        <f>Lisäosat[[#This Row],[HYTE-kerroin (sis. Kulttuurihyte)]]*Lisäosat[[#This Row],[Asukasmäärä 31.12.2023]]</f>
        <v>3481.2356797919997</v>
      </c>
      <c r="N206" s="427">
        <f>Lisäosat[[#This Row],[HYTE-kerroin (sis. Kulttuurihyte)]]/$N$7</f>
        <v>1.0838644024109843</v>
      </c>
      <c r="O206" s="439">
        <v>0</v>
      </c>
      <c r="P206" s="197">
        <v>581170.04728200007</v>
      </c>
      <c r="Q206" s="159">
        <v>0</v>
      </c>
      <c r="R206" s="159">
        <v>59087.510864714481</v>
      </c>
      <c r="S206" s="159">
        <v>102633.24463852482</v>
      </c>
      <c r="T206" s="159">
        <v>0</v>
      </c>
      <c r="U206" s="309">
        <f t="shared" si="4"/>
        <v>742890.80278523942</v>
      </c>
      <c r="V206" s="44"/>
      <c r="W206" s="44"/>
      <c r="X206" s="110"/>
      <c r="Y206" s="110"/>
      <c r="Z206" s="111"/>
    </row>
    <row r="207" spans="1:26" s="45" customFormat="1">
      <c r="A207" s="127">
        <v>630</v>
      </c>
      <c r="B207" s="124" t="s">
        <v>211</v>
      </c>
      <c r="C207" s="408">
        <v>1646</v>
      </c>
      <c r="D207" s="412">
        <v>1.6342166666666667</v>
      </c>
      <c r="E207" s="420">
        <v>0</v>
      </c>
      <c r="F207" s="155">
        <v>0</v>
      </c>
      <c r="G207" s="419">
        <v>0</v>
      </c>
      <c r="H207" s="269">
        <v>802</v>
      </c>
      <c r="I207" s="15">
        <v>596</v>
      </c>
      <c r="J207" s="331">
        <v>1.3456375838926173</v>
      </c>
      <c r="K207" s="427">
        <v>1.346205322673983</v>
      </c>
      <c r="L207" s="434">
        <v>0.61236704500000005</v>
      </c>
      <c r="M207" s="14">
        <f>Lisäosat[[#This Row],[HYTE-kerroin (sis. Kulttuurihyte)]]*Lisäosat[[#This Row],[Asukasmäärä 31.12.2023]]</f>
        <v>1007.9561560700001</v>
      </c>
      <c r="N207" s="427">
        <f>Lisäosat[[#This Row],[HYTE-kerroin (sis. Kulttuurihyte)]]/$N$7</f>
        <v>0.90676590828822268</v>
      </c>
      <c r="O207" s="439">
        <v>1.1011558240923147</v>
      </c>
      <c r="P207" s="197">
        <v>520741.735407</v>
      </c>
      <c r="Q207" s="159">
        <v>0</v>
      </c>
      <c r="R207" s="159">
        <v>29936.18701474979</v>
      </c>
      <c r="S207" s="159">
        <v>29716.405399194475</v>
      </c>
      <c r="T207" s="159">
        <v>19140.026256974834</v>
      </c>
      <c r="U207" s="309">
        <f t="shared" si="4"/>
        <v>599534.35407791904</v>
      </c>
      <c r="V207" s="44"/>
      <c r="W207" s="44"/>
      <c r="X207" s="110"/>
      <c r="Y207" s="110"/>
      <c r="Z207" s="111"/>
    </row>
    <row r="208" spans="1:26" s="45" customFormat="1">
      <c r="A208" s="127">
        <v>631</v>
      </c>
      <c r="B208" s="124" t="s">
        <v>212</v>
      </c>
      <c r="C208" s="408">
        <v>1930</v>
      </c>
      <c r="D208" s="412">
        <v>0</v>
      </c>
      <c r="E208" s="420">
        <v>0</v>
      </c>
      <c r="F208" s="155">
        <v>0</v>
      </c>
      <c r="G208" s="419">
        <v>0</v>
      </c>
      <c r="H208" s="269">
        <v>389</v>
      </c>
      <c r="I208" s="15">
        <v>819</v>
      </c>
      <c r="J208" s="331">
        <v>0.47496947496947495</v>
      </c>
      <c r="K208" s="427">
        <v>0.47516986963304025</v>
      </c>
      <c r="L208" s="434">
        <v>0.46469345499999998</v>
      </c>
      <c r="M208" s="14">
        <f>Lisäosat[[#This Row],[HYTE-kerroin (sis. Kulttuurihyte)]]*Lisäosat[[#This Row],[Asukasmäärä 31.12.2023]]</f>
        <v>896.85836814999993</v>
      </c>
      <c r="N208" s="427">
        <f>Lisäosat[[#This Row],[HYTE-kerroin (sis. Kulttuurihyte)]]/$N$7</f>
        <v>0.68809741843417993</v>
      </c>
      <c r="O208" s="439">
        <v>0</v>
      </c>
      <c r="P208" s="197">
        <v>0</v>
      </c>
      <c r="Q208" s="159">
        <v>0</v>
      </c>
      <c r="R208" s="159">
        <v>12389.721731772781</v>
      </c>
      <c r="S208" s="159">
        <v>26441.037829977329</v>
      </c>
      <c r="T208" s="159">
        <v>0</v>
      </c>
      <c r="U208" s="309">
        <f t="shared" si="4"/>
        <v>38830.759561750107</v>
      </c>
      <c r="V208" s="44"/>
      <c r="W208" s="44"/>
      <c r="X208" s="110"/>
      <c r="Y208" s="110"/>
      <c r="Z208" s="111"/>
    </row>
    <row r="209" spans="1:26" s="45" customFormat="1">
      <c r="A209" s="127">
        <v>635</v>
      </c>
      <c r="B209" s="124" t="s">
        <v>213</v>
      </c>
      <c r="C209" s="408">
        <v>6337</v>
      </c>
      <c r="D209" s="412">
        <v>0.39179999999999998</v>
      </c>
      <c r="E209" s="420">
        <v>0</v>
      </c>
      <c r="F209" s="155">
        <v>0</v>
      </c>
      <c r="G209" s="419">
        <v>0</v>
      </c>
      <c r="H209" s="269">
        <v>1791</v>
      </c>
      <c r="I209" s="15">
        <v>2601</v>
      </c>
      <c r="J209" s="331">
        <v>0.68858131487889274</v>
      </c>
      <c r="K209" s="427">
        <v>0.68887183464532908</v>
      </c>
      <c r="L209" s="434">
        <v>0.59505799299999995</v>
      </c>
      <c r="M209" s="14">
        <f>Lisäosat[[#This Row],[HYTE-kerroin (sis. Kulttuurihyte)]]*Lisäosat[[#This Row],[Asukasmäärä 31.12.2023]]</f>
        <v>3770.8825016409996</v>
      </c>
      <c r="N209" s="427">
        <f>Lisäosat[[#This Row],[HYTE-kerroin (sis. Kulttuurihyte)]]/$N$7</f>
        <v>0.88113543325443289</v>
      </c>
      <c r="O209" s="439">
        <v>0</v>
      </c>
      <c r="P209" s="197">
        <v>160217.445798</v>
      </c>
      <c r="Q209" s="159">
        <v>0</v>
      </c>
      <c r="R209" s="159">
        <v>58976.294826152058</v>
      </c>
      <c r="S209" s="159">
        <v>111172.56683901882</v>
      </c>
      <c r="T209" s="159">
        <v>0</v>
      </c>
      <c r="U209" s="309">
        <f t="shared" si="4"/>
        <v>330366.3074631709</v>
      </c>
      <c r="V209" s="44"/>
      <c r="W209" s="44"/>
      <c r="X209" s="110"/>
      <c r="Y209" s="110"/>
      <c r="Z209" s="111"/>
    </row>
    <row r="210" spans="1:26" s="45" customFormat="1">
      <c r="A210" s="127">
        <v>636</v>
      </c>
      <c r="B210" s="124" t="s">
        <v>214</v>
      </c>
      <c r="C210" s="408">
        <v>8130</v>
      </c>
      <c r="D210" s="412">
        <v>0</v>
      </c>
      <c r="E210" s="420">
        <v>0</v>
      </c>
      <c r="F210" s="155">
        <v>3</v>
      </c>
      <c r="G210" s="419">
        <v>3.6900369003690036E-4</v>
      </c>
      <c r="H210" s="269">
        <v>2458</v>
      </c>
      <c r="I210" s="15">
        <v>3356</v>
      </c>
      <c r="J210" s="331">
        <v>0.73241954707985701</v>
      </c>
      <c r="K210" s="427">
        <v>0.73272856266182718</v>
      </c>
      <c r="L210" s="434">
        <v>0.65356238300000002</v>
      </c>
      <c r="M210" s="14">
        <f>Lisäosat[[#This Row],[HYTE-kerroin (sis. Kulttuurihyte)]]*Lisäosat[[#This Row],[Asukasmäärä 31.12.2023]]</f>
        <v>5313.4621737900006</v>
      </c>
      <c r="N210" s="427">
        <f>Lisäosat[[#This Row],[HYTE-kerroin (sis. Kulttuurihyte)]]/$N$7</f>
        <v>0.96776613418837765</v>
      </c>
      <c r="O210" s="439">
        <v>0</v>
      </c>
      <c r="P210" s="197">
        <v>0</v>
      </c>
      <c r="Q210" s="159">
        <v>0</v>
      </c>
      <c r="R210" s="159">
        <v>80480.194227093249</v>
      </c>
      <c r="S210" s="159">
        <v>156650.65893864457</v>
      </c>
      <c r="T210" s="159">
        <v>0</v>
      </c>
      <c r="U210" s="309">
        <f t="shared" si="4"/>
        <v>237130.85316573782</v>
      </c>
      <c r="V210" s="44"/>
      <c r="W210" s="44"/>
      <c r="X210" s="110"/>
      <c r="Y210" s="110"/>
      <c r="Z210" s="111"/>
    </row>
    <row r="211" spans="1:26" s="45" customFormat="1">
      <c r="A211" s="127">
        <v>638</v>
      </c>
      <c r="B211" s="124" t="s">
        <v>215</v>
      </c>
      <c r="C211" s="408">
        <v>51289</v>
      </c>
      <c r="D211" s="412">
        <v>0</v>
      </c>
      <c r="E211" s="420">
        <v>0</v>
      </c>
      <c r="F211" s="155">
        <v>1</v>
      </c>
      <c r="G211" s="419">
        <v>1.9497358107976368E-5</v>
      </c>
      <c r="H211" s="269">
        <v>21122</v>
      </c>
      <c r="I211" s="15">
        <v>23070</v>
      </c>
      <c r="J211" s="331">
        <v>0.91556133506718684</v>
      </c>
      <c r="K211" s="427">
        <v>0.91594762011366482</v>
      </c>
      <c r="L211" s="434">
        <v>0.71883261099999995</v>
      </c>
      <c r="M211" s="14">
        <f>Lisäosat[[#This Row],[HYTE-kerroin (sis. Kulttuurihyte)]]*Lisäosat[[#This Row],[Asukasmäärä 31.12.2023]]</f>
        <v>36868.205785578997</v>
      </c>
      <c r="N211" s="427">
        <f>Lisäosat[[#This Row],[HYTE-kerroin (sis. Kulttuurihyte)]]/$N$7</f>
        <v>1.0644153873770421</v>
      </c>
      <c r="O211" s="439">
        <v>0.44018909137468754</v>
      </c>
      <c r="P211" s="197">
        <v>0</v>
      </c>
      <c r="Q211" s="159">
        <v>0</v>
      </c>
      <c r="R211" s="159">
        <v>634673.28646301175</v>
      </c>
      <c r="S211" s="159">
        <v>1086942.663991336</v>
      </c>
      <c r="T211" s="159">
        <v>238411.62372737264</v>
      </c>
      <c r="U211" s="309">
        <f t="shared" si="4"/>
        <v>1960027.5741817204</v>
      </c>
      <c r="V211" s="44"/>
      <c r="W211" s="44"/>
      <c r="X211" s="110"/>
      <c r="Y211" s="110"/>
      <c r="Z211" s="111"/>
    </row>
    <row r="212" spans="1:26" s="45" customFormat="1">
      <c r="A212" s="127">
        <v>678</v>
      </c>
      <c r="B212" s="124" t="s">
        <v>216</v>
      </c>
      <c r="C212" s="408">
        <v>23797</v>
      </c>
      <c r="D212" s="412">
        <v>0.41796666666666665</v>
      </c>
      <c r="E212" s="420">
        <v>0</v>
      </c>
      <c r="F212" s="155">
        <v>1</v>
      </c>
      <c r="G212" s="419">
        <v>4.202210362650754E-5</v>
      </c>
      <c r="H212" s="269">
        <v>10091</v>
      </c>
      <c r="I212" s="15">
        <v>8867</v>
      </c>
      <c r="J212" s="331">
        <v>1.1380399233111538</v>
      </c>
      <c r="K212" s="427">
        <v>1.1385200744357509</v>
      </c>
      <c r="L212" s="434">
        <v>0.63358255100000005</v>
      </c>
      <c r="M212" s="14">
        <f>Lisäosat[[#This Row],[HYTE-kerroin (sis. Kulttuurihyte)]]*Lisäosat[[#This Row],[Asukasmäärä 31.12.2023]]</f>
        <v>15077.363966147001</v>
      </c>
      <c r="N212" s="427">
        <f>Lisäosat[[#This Row],[HYTE-kerroin (sis. Kulttuurihyte)]]/$N$7</f>
        <v>0.93818088681288225</v>
      </c>
      <c r="O212" s="439">
        <v>0</v>
      </c>
      <c r="P212" s="197">
        <v>641838.14403299999</v>
      </c>
      <c r="Q212" s="159">
        <v>0</v>
      </c>
      <c r="R212" s="159">
        <v>366031.32347530557</v>
      </c>
      <c r="S212" s="159">
        <v>444508.48111900943</v>
      </c>
      <c r="T212" s="159">
        <v>0</v>
      </c>
      <c r="U212" s="309">
        <f t="shared" si="4"/>
        <v>1452377.948627315</v>
      </c>
      <c r="V212" s="44"/>
      <c r="W212" s="44"/>
      <c r="X212" s="110"/>
      <c r="Y212" s="110"/>
      <c r="Z212" s="111"/>
    </row>
    <row r="213" spans="1:26" s="45" customFormat="1">
      <c r="A213" s="127">
        <v>680</v>
      </c>
      <c r="B213" s="124" t="s">
        <v>217</v>
      </c>
      <c r="C213" s="408">
        <v>25331</v>
      </c>
      <c r="D213" s="412">
        <v>0</v>
      </c>
      <c r="E213" s="420">
        <v>0</v>
      </c>
      <c r="F213" s="155">
        <v>0</v>
      </c>
      <c r="G213" s="419">
        <v>0</v>
      </c>
      <c r="H213" s="269">
        <v>11152</v>
      </c>
      <c r="I213" s="15">
        <v>11358</v>
      </c>
      <c r="J213" s="331">
        <v>0.98186300405000881</v>
      </c>
      <c r="K213" s="427">
        <v>0.98227726247446123</v>
      </c>
      <c r="L213" s="434">
        <v>0.63454019299999997</v>
      </c>
      <c r="M213" s="14">
        <f>Lisäosat[[#This Row],[HYTE-kerroin (sis. Kulttuurihyte)]]*Lisäosat[[#This Row],[Asukasmäärä 31.12.2023]]</f>
        <v>16073.537628882999</v>
      </c>
      <c r="N213" s="427">
        <f>Lisäosat[[#This Row],[HYTE-kerroin (sis. Kulttuurihyte)]]/$N$7</f>
        <v>0.93959892053144223</v>
      </c>
      <c r="O213" s="439">
        <v>1.2476091648409831</v>
      </c>
      <c r="P213" s="197">
        <v>0</v>
      </c>
      <c r="Q213" s="159">
        <v>0</v>
      </c>
      <c r="R213" s="159">
        <v>336156.70268585521</v>
      </c>
      <c r="S213" s="159">
        <v>473877.51689660084</v>
      </c>
      <c r="T213" s="159">
        <v>333729.66268843814</v>
      </c>
      <c r="U213" s="309">
        <f t="shared" si="4"/>
        <v>1143763.8822708942</v>
      </c>
      <c r="V213" s="44"/>
      <c r="W213" s="44"/>
      <c r="X213" s="110"/>
      <c r="Y213" s="110"/>
      <c r="Z213" s="111"/>
    </row>
    <row r="214" spans="1:26" s="45" customFormat="1">
      <c r="A214" s="127">
        <v>681</v>
      </c>
      <c r="B214" s="124" t="s">
        <v>218</v>
      </c>
      <c r="C214" s="408">
        <v>3297</v>
      </c>
      <c r="D214" s="412">
        <v>0.93268333333333331</v>
      </c>
      <c r="E214" s="420">
        <v>0</v>
      </c>
      <c r="F214" s="155">
        <v>0</v>
      </c>
      <c r="G214" s="419">
        <v>0</v>
      </c>
      <c r="H214" s="269">
        <v>1035</v>
      </c>
      <c r="I214" s="15">
        <v>1215</v>
      </c>
      <c r="J214" s="331">
        <v>0.85185185185185186</v>
      </c>
      <c r="K214" s="427">
        <v>0.85221125719104829</v>
      </c>
      <c r="L214" s="434">
        <v>0.55550818999999996</v>
      </c>
      <c r="M214" s="14">
        <f>Lisäosat[[#This Row],[HYTE-kerroin (sis. Kulttuurihyte)]]*Lisäosat[[#This Row],[Asukasmäärä 31.12.2023]]</f>
        <v>1831.5105024299999</v>
      </c>
      <c r="N214" s="427">
        <f>Lisäosat[[#This Row],[HYTE-kerroin (sis. Kulttuurihyte)]]/$N$7</f>
        <v>0.82257184245911952</v>
      </c>
      <c r="O214" s="439">
        <v>0</v>
      </c>
      <c r="P214" s="197">
        <v>198433.42498350001</v>
      </c>
      <c r="Q214" s="159">
        <v>0</v>
      </c>
      <c r="R214" s="159">
        <v>37959.594357094553</v>
      </c>
      <c r="S214" s="159">
        <v>53996.305548941447</v>
      </c>
      <c r="T214" s="159">
        <v>0</v>
      </c>
      <c r="U214" s="309">
        <f t="shared" si="4"/>
        <v>290389.32488953602</v>
      </c>
      <c r="V214" s="44"/>
      <c r="W214" s="44"/>
      <c r="X214" s="110"/>
      <c r="Y214" s="110"/>
      <c r="Z214" s="111"/>
    </row>
    <row r="215" spans="1:26" s="45" customFormat="1">
      <c r="A215" s="127">
        <v>683</v>
      </c>
      <c r="B215" s="124" t="s">
        <v>219</v>
      </c>
      <c r="C215" s="408">
        <v>3599</v>
      </c>
      <c r="D215" s="412">
        <v>1.7670166666666667</v>
      </c>
      <c r="E215" s="420">
        <v>0</v>
      </c>
      <c r="F215" s="155">
        <v>0</v>
      </c>
      <c r="G215" s="419">
        <v>0</v>
      </c>
      <c r="H215" s="269">
        <v>1151</v>
      </c>
      <c r="I215" s="15">
        <v>1206</v>
      </c>
      <c r="J215" s="331">
        <v>0.95439469320066339</v>
      </c>
      <c r="K215" s="427">
        <v>0.95479736245317648</v>
      </c>
      <c r="L215" s="434">
        <v>0.48029714200000001</v>
      </c>
      <c r="M215" s="14">
        <f>Lisäosat[[#This Row],[HYTE-kerroin (sis. Kulttuurihyte)]]*Lisäosat[[#This Row],[Asukasmäärä 31.12.2023]]</f>
        <v>1728.5894140580001</v>
      </c>
      <c r="N215" s="427">
        <f>Lisäosat[[#This Row],[HYTE-kerroin (sis. Kulttuurihyte)]]/$N$7</f>
        <v>0.7112026647578128</v>
      </c>
      <c r="O215" s="439">
        <v>0</v>
      </c>
      <c r="P215" s="197">
        <v>1231134.2466434999</v>
      </c>
      <c r="Q215" s="159">
        <v>0</v>
      </c>
      <c r="R215" s="159">
        <v>46424.625207905949</v>
      </c>
      <c r="S215" s="159">
        <v>50962.002154125657</v>
      </c>
      <c r="T215" s="159">
        <v>0</v>
      </c>
      <c r="U215" s="309">
        <f t="shared" si="4"/>
        <v>1328520.8740055314</v>
      </c>
      <c r="V215" s="44"/>
      <c r="W215" s="44"/>
      <c r="X215" s="110"/>
      <c r="Y215" s="110"/>
      <c r="Z215" s="111"/>
    </row>
    <row r="216" spans="1:26" s="45" customFormat="1">
      <c r="A216" s="127">
        <v>684</v>
      </c>
      <c r="B216" s="124" t="s">
        <v>220</v>
      </c>
      <c r="C216" s="408">
        <v>38832</v>
      </c>
      <c r="D216" s="412">
        <v>0</v>
      </c>
      <c r="E216" s="420">
        <v>0</v>
      </c>
      <c r="F216" s="155">
        <v>3</v>
      </c>
      <c r="G216" s="419">
        <v>7.7255871446229907E-5</v>
      </c>
      <c r="H216" s="269">
        <v>16777</v>
      </c>
      <c r="I216" s="15">
        <v>16399</v>
      </c>
      <c r="J216" s="331">
        <v>1.0230501859869505</v>
      </c>
      <c r="K216" s="427">
        <v>1.0234818217206878</v>
      </c>
      <c r="L216" s="434">
        <v>0.66071790399999997</v>
      </c>
      <c r="M216" s="14">
        <f>Lisäosat[[#This Row],[HYTE-kerroin (sis. Kulttuurihyte)]]*Lisäosat[[#This Row],[Asukasmäärä 31.12.2023]]</f>
        <v>25656.997648127999</v>
      </c>
      <c r="N216" s="427">
        <f>Lisäosat[[#This Row],[HYTE-kerroin (sis. Kulttuurihyte)]]/$N$7</f>
        <v>0.97836171171303099</v>
      </c>
      <c r="O216" s="439">
        <v>0</v>
      </c>
      <c r="P216" s="197">
        <v>0</v>
      </c>
      <c r="Q216" s="159">
        <v>0</v>
      </c>
      <c r="R216" s="159">
        <v>536939.3608252902</v>
      </c>
      <c r="S216" s="159">
        <v>756415.58300577675</v>
      </c>
      <c r="T216" s="159">
        <v>0</v>
      </c>
      <c r="U216" s="309">
        <f t="shared" si="4"/>
        <v>1293354.9438310671</v>
      </c>
      <c r="V216" s="44"/>
      <c r="W216" s="44"/>
      <c r="X216" s="110"/>
      <c r="Y216" s="110"/>
      <c r="Z216" s="111"/>
    </row>
    <row r="217" spans="1:26" s="45" customFormat="1">
      <c r="A217" s="127">
        <v>686</v>
      </c>
      <c r="B217" s="124" t="s">
        <v>221</v>
      </c>
      <c r="C217" s="408">
        <v>2933</v>
      </c>
      <c r="D217" s="412">
        <v>1.22455</v>
      </c>
      <c r="E217" s="420">
        <v>0</v>
      </c>
      <c r="F217" s="155">
        <v>0</v>
      </c>
      <c r="G217" s="419">
        <v>0</v>
      </c>
      <c r="H217" s="269">
        <v>829</v>
      </c>
      <c r="I217" s="15">
        <v>1014</v>
      </c>
      <c r="J217" s="331">
        <v>0.81755424063116366</v>
      </c>
      <c r="K217" s="427">
        <v>0.81789917544409707</v>
      </c>
      <c r="L217" s="434">
        <v>0.66560624899999998</v>
      </c>
      <c r="M217" s="14">
        <f>Lisäosat[[#This Row],[HYTE-kerroin (sis. Kulttuurihyte)]]*Lisäosat[[#This Row],[Asukasmäärä 31.12.2023]]</f>
        <v>1952.2231283169999</v>
      </c>
      <c r="N217" s="427">
        <f>Lisäosat[[#This Row],[HYTE-kerroin (sis. Kulttuurihyte)]]/$N$7</f>
        <v>0.98560015576410043</v>
      </c>
      <c r="O217" s="439">
        <v>0</v>
      </c>
      <c r="P217" s="197">
        <v>347649.42049425002</v>
      </c>
      <c r="Q217" s="159">
        <v>0</v>
      </c>
      <c r="R217" s="159">
        <v>32409.11578411252</v>
      </c>
      <c r="S217" s="159">
        <v>57555.136264005079</v>
      </c>
      <c r="T217" s="159">
        <v>0</v>
      </c>
      <c r="U217" s="309">
        <f t="shared" si="4"/>
        <v>437613.67254236765</v>
      </c>
      <c r="V217" s="44"/>
      <c r="W217" s="44"/>
      <c r="X217" s="110"/>
      <c r="Y217" s="110"/>
      <c r="Z217" s="111"/>
    </row>
    <row r="218" spans="1:26" s="45" customFormat="1">
      <c r="A218" s="127">
        <v>687</v>
      </c>
      <c r="B218" s="124" t="s">
        <v>222</v>
      </c>
      <c r="C218" s="408">
        <v>1424</v>
      </c>
      <c r="D218" s="412">
        <v>1.7679666666666667</v>
      </c>
      <c r="E218" s="420">
        <v>0</v>
      </c>
      <c r="F218" s="155">
        <v>0</v>
      </c>
      <c r="G218" s="419">
        <v>0</v>
      </c>
      <c r="H218" s="269">
        <v>426</v>
      </c>
      <c r="I218" s="15">
        <v>456</v>
      </c>
      <c r="J218" s="331">
        <v>0.93421052631578949</v>
      </c>
      <c r="K218" s="427">
        <v>0.93460467965402716</v>
      </c>
      <c r="L218" s="434">
        <v>0.38413704700000001</v>
      </c>
      <c r="M218" s="14">
        <f>Lisäosat[[#This Row],[HYTE-kerroin (sis. Kulttuurihyte)]]*Lisäosat[[#This Row],[Asukasmäärä 31.12.2023]]</f>
        <v>547.011154928</v>
      </c>
      <c r="N218" s="427">
        <f>Lisäosat[[#This Row],[HYTE-kerroin (sis. Kulttuurihyte)]]/$N$7</f>
        <v>0.56881306917832375</v>
      </c>
      <c r="O218" s="439">
        <v>0</v>
      </c>
      <c r="P218" s="197">
        <v>487379.189808</v>
      </c>
      <c r="Q218" s="159">
        <v>0</v>
      </c>
      <c r="R218" s="159">
        <v>17980.149132307291</v>
      </c>
      <c r="S218" s="159">
        <v>16126.897127252767</v>
      </c>
      <c r="T218" s="159">
        <v>0</v>
      </c>
      <c r="U218" s="309">
        <f t="shared" si="4"/>
        <v>521486.23606756004</v>
      </c>
      <c r="V218" s="44"/>
      <c r="W218" s="44"/>
      <c r="X218" s="110"/>
      <c r="Y218" s="110"/>
      <c r="Z218" s="111"/>
    </row>
    <row r="219" spans="1:26" s="45" customFormat="1">
      <c r="A219" s="127">
        <v>689</v>
      </c>
      <c r="B219" s="124" t="s">
        <v>223</v>
      </c>
      <c r="C219" s="408">
        <v>3032</v>
      </c>
      <c r="D219" s="412">
        <v>1.0862000000000001</v>
      </c>
      <c r="E219" s="420">
        <v>0</v>
      </c>
      <c r="F219" s="155">
        <v>0</v>
      </c>
      <c r="G219" s="419">
        <v>0</v>
      </c>
      <c r="H219" s="269">
        <v>902</v>
      </c>
      <c r="I219" s="15">
        <v>981</v>
      </c>
      <c r="J219" s="331">
        <v>0.9194699286442406</v>
      </c>
      <c r="K219" s="427">
        <v>0.91985786276784076</v>
      </c>
      <c r="L219" s="434">
        <v>0.56679030500000005</v>
      </c>
      <c r="M219" s="14">
        <f>Lisäosat[[#This Row],[HYTE-kerroin (sis. Kulttuurihyte)]]*Lisäosat[[#This Row],[Asukasmäärä 31.12.2023]]</f>
        <v>1718.5082047600001</v>
      </c>
      <c r="N219" s="427">
        <f>Lisäosat[[#This Row],[HYTE-kerroin (sis. Kulttuurihyte)]]/$N$7</f>
        <v>0.83927789700421218</v>
      </c>
      <c r="O219" s="439">
        <v>0</v>
      </c>
      <c r="P219" s="197">
        <v>318780.62632799998</v>
      </c>
      <c r="Q219" s="159">
        <v>0</v>
      </c>
      <c r="R219" s="159">
        <v>37679.51212921238</v>
      </c>
      <c r="S219" s="159">
        <v>50664.789521800922</v>
      </c>
      <c r="T219" s="159">
        <v>0</v>
      </c>
      <c r="U219" s="309">
        <f t="shared" si="4"/>
        <v>407124.9279790133</v>
      </c>
      <c r="V219" s="44"/>
      <c r="W219" s="44"/>
      <c r="X219" s="110"/>
      <c r="Y219" s="110"/>
      <c r="Z219" s="111"/>
    </row>
    <row r="220" spans="1:26" s="45" customFormat="1">
      <c r="A220" s="127">
        <v>691</v>
      </c>
      <c r="B220" s="124" t="s">
        <v>224</v>
      </c>
      <c r="C220" s="408">
        <v>2598</v>
      </c>
      <c r="D220" s="412">
        <v>1.246</v>
      </c>
      <c r="E220" s="420">
        <v>0</v>
      </c>
      <c r="F220" s="155">
        <v>0</v>
      </c>
      <c r="G220" s="419">
        <v>0</v>
      </c>
      <c r="H220" s="269">
        <v>918</v>
      </c>
      <c r="I220" s="15">
        <v>988</v>
      </c>
      <c r="J220" s="331">
        <v>0.92914979757085026</v>
      </c>
      <c r="K220" s="427">
        <v>0.92954181573390793</v>
      </c>
      <c r="L220" s="434">
        <v>0.57415598199999995</v>
      </c>
      <c r="M220" s="14">
        <f>Lisäosat[[#This Row],[HYTE-kerroin (sis. Kulttuurihyte)]]*Lisäosat[[#This Row],[Asukasmäärä 31.12.2023]]</f>
        <v>1491.6572412359999</v>
      </c>
      <c r="N220" s="427">
        <f>Lisäosat[[#This Row],[HYTE-kerroin (sis. Kulttuurihyte)]]/$N$7</f>
        <v>0.85018466419489702</v>
      </c>
      <c r="O220" s="439">
        <v>0</v>
      </c>
      <c r="P220" s="197">
        <v>313335.86886000005</v>
      </c>
      <c r="Q220" s="159">
        <v>0</v>
      </c>
      <c r="R220" s="159">
        <v>32625.969599608121</v>
      </c>
      <c r="S220" s="159">
        <v>43976.804973384802</v>
      </c>
      <c r="T220" s="159">
        <v>0</v>
      </c>
      <c r="U220" s="309">
        <f t="shared" si="4"/>
        <v>389938.64343299298</v>
      </c>
      <c r="V220" s="44"/>
      <c r="W220" s="44"/>
      <c r="X220" s="110"/>
      <c r="Y220" s="110"/>
      <c r="Z220" s="111"/>
    </row>
    <row r="221" spans="1:26" s="45" customFormat="1">
      <c r="A221" s="127">
        <v>694</v>
      </c>
      <c r="B221" s="124" t="s">
        <v>225</v>
      </c>
      <c r="C221" s="408">
        <v>28483</v>
      </c>
      <c r="D221" s="412">
        <v>0</v>
      </c>
      <c r="E221" s="420">
        <v>0</v>
      </c>
      <c r="F221" s="155">
        <v>1</v>
      </c>
      <c r="G221" s="419">
        <v>3.5108661306744374E-5</v>
      </c>
      <c r="H221" s="269">
        <v>11907</v>
      </c>
      <c r="I221" s="15">
        <v>12367</v>
      </c>
      <c r="J221" s="331">
        <v>0.96280423708255847</v>
      </c>
      <c r="K221" s="427">
        <v>0.96321045441090747</v>
      </c>
      <c r="L221" s="434">
        <v>0.74939883500000004</v>
      </c>
      <c r="M221" s="14">
        <f>Lisäosat[[#This Row],[HYTE-kerroin (sis. Kulttuurihyte)]]*Lisäosat[[#This Row],[Asukasmäärä 31.12.2023]]</f>
        <v>21345.127017305</v>
      </c>
      <c r="N221" s="427">
        <f>Lisäosat[[#This Row],[HYTE-kerroin (sis. Kulttuurihyte)]]/$N$7</f>
        <v>1.109676493595293</v>
      </c>
      <c r="O221" s="439">
        <v>0</v>
      </c>
      <c r="P221" s="197">
        <v>0</v>
      </c>
      <c r="Q221" s="159">
        <v>0</v>
      </c>
      <c r="R221" s="159">
        <v>370648.51676903915</v>
      </c>
      <c r="S221" s="159">
        <v>629293.68894045788</v>
      </c>
      <c r="T221" s="159">
        <v>0</v>
      </c>
      <c r="U221" s="309">
        <f t="shared" si="4"/>
        <v>999942.20570949698</v>
      </c>
      <c r="V221" s="44"/>
      <c r="W221" s="44"/>
      <c r="X221" s="110"/>
      <c r="Y221" s="110"/>
      <c r="Z221" s="111"/>
    </row>
    <row r="222" spans="1:26" s="45" customFormat="1">
      <c r="A222" s="127">
        <v>697</v>
      </c>
      <c r="B222" s="124" t="s">
        <v>226</v>
      </c>
      <c r="C222" s="408">
        <v>1164</v>
      </c>
      <c r="D222" s="412">
        <v>1.0741833333333333</v>
      </c>
      <c r="E222" s="420">
        <v>0</v>
      </c>
      <c r="F222" s="155">
        <v>0</v>
      </c>
      <c r="G222" s="419">
        <v>0</v>
      </c>
      <c r="H222" s="269">
        <v>280</v>
      </c>
      <c r="I222" s="15">
        <v>419</v>
      </c>
      <c r="J222" s="331">
        <v>0.66825775656324582</v>
      </c>
      <c r="K222" s="427">
        <v>0.66853970160468246</v>
      </c>
      <c r="L222" s="434">
        <v>0.79985010000000001</v>
      </c>
      <c r="M222" s="14">
        <f>Lisäosat[[#This Row],[HYTE-kerroin (sis. Kulttuurihyte)]]*Lisäosat[[#This Row],[Asukasmäärä 31.12.2023]]</f>
        <v>931.02551640000001</v>
      </c>
      <c r="N222" s="427">
        <f>Lisäosat[[#This Row],[HYTE-kerroin (sis. Kulttuurihyte)]]/$N$7</f>
        <v>1.1843824848884965</v>
      </c>
      <c r="O222" s="439">
        <v>0</v>
      </c>
      <c r="P222" s="197">
        <v>121027.57017299999</v>
      </c>
      <c r="Q222" s="159">
        <v>0</v>
      </c>
      <c r="R222" s="159">
        <v>10513.214673142658</v>
      </c>
      <c r="S222" s="159">
        <v>27448.348339087279</v>
      </c>
      <c r="T222" s="159">
        <v>0</v>
      </c>
      <c r="U222" s="309">
        <f t="shared" si="4"/>
        <v>158989.1331852299</v>
      </c>
      <c r="V222" s="44"/>
      <c r="W222" s="44"/>
      <c r="X222" s="110"/>
      <c r="Y222" s="110"/>
      <c r="Z222" s="111"/>
    </row>
    <row r="223" spans="1:26" s="45" customFormat="1">
      <c r="A223" s="127">
        <v>698</v>
      </c>
      <c r="B223" s="124" t="s">
        <v>227</v>
      </c>
      <c r="C223" s="408">
        <v>65286</v>
      </c>
      <c r="D223" s="412">
        <v>0</v>
      </c>
      <c r="E223" s="420">
        <v>0</v>
      </c>
      <c r="F223" s="155">
        <v>209</v>
      </c>
      <c r="G223" s="419">
        <v>3.2012989002236313E-3</v>
      </c>
      <c r="H223" s="269">
        <v>28480</v>
      </c>
      <c r="I223" s="15">
        <v>28958</v>
      </c>
      <c r="J223" s="331">
        <v>0.9834933351750812</v>
      </c>
      <c r="K223" s="427">
        <v>0.98390828145354214</v>
      </c>
      <c r="L223" s="434">
        <v>0.64516426400000004</v>
      </c>
      <c r="M223" s="14">
        <f>Lisäosat[[#This Row],[HYTE-kerroin (sis. Kulttuurihyte)]]*Lisäosat[[#This Row],[Asukasmäärä 31.12.2023]]</f>
        <v>42120.194139504005</v>
      </c>
      <c r="N223" s="427">
        <f>Lisäosat[[#This Row],[HYTE-kerroin (sis. Kulttuurihyte)]]/$N$7</f>
        <v>0.95533057276304389</v>
      </c>
      <c r="O223" s="439">
        <v>0.91438684503015732</v>
      </c>
      <c r="P223" s="197">
        <v>0</v>
      </c>
      <c r="Q223" s="159">
        <v>0</v>
      </c>
      <c r="R223" s="159">
        <v>867820.74121080514</v>
      </c>
      <c r="S223" s="159">
        <v>1241780.9614085548</v>
      </c>
      <c r="T223" s="159">
        <v>630396.72500258626</v>
      </c>
      <c r="U223" s="309">
        <f t="shared" si="4"/>
        <v>2739998.4276219462</v>
      </c>
      <c r="V223" s="44"/>
      <c r="W223" s="44"/>
      <c r="X223" s="110"/>
      <c r="Y223" s="110"/>
      <c r="Z223" s="111"/>
    </row>
    <row r="224" spans="1:26" s="45" customFormat="1">
      <c r="A224" s="127">
        <v>700</v>
      </c>
      <c r="B224" s="124" t="s">
        <v>228</v>
      </c>
      <c r="C224" s="408">
        <v>4758</v>
      </c>
      <c r="D224" s="412">
        <v>7.9149999999999998E-2</v>
      </c>
      <c r="E224" s="420">
        <v>0</v>
      </c>
      <c r="F224" s="155">
        <v>0</v>
      </c>
      <c r="G224" s="419">
        <v>0</v>
      </c>
      <c r="H224" s="269">
        <v>982</v>
      </c>
      <c r="I224" s="15">
        <v>1715</v>
      </c>
      <c r="J224" s="331">
        <v>0.57259475218658895</v>
      </c>
      <c r="K224" s="427">
        <v>0.57283633599096095</v>
      </c>
      <c r="L224" s="434">
        <v>0.69256104600000001</v>
      </c>
      <c r="M224" s="14">
        <f>Lisäosat[[#This Row],[HYTE-kerroin (sis. Kulttuurihyte)]]*Lisäosat[[#This Row],[Asukasmäärä 31.12.2023]]</f>
        <v>3295.2054568680001</v>
      </c>
      <c r="N224" s="427">
        <f>Lisäosat[[#This Row],[HYTE-kerroin (sis. Kulttuurihyte)]]/$N$7</f>
        <v>1.0255136213628733</v>
      </c>
      <c r="O224" s="439">
        <v>0</v>
      </c>
      <c r="P224" s="197">
        <v>24301.720520999999</v>
      </c>
      <c r="Q224" s="159">
        <v>0</v>
      </c>
      <c r="R224" s="159">
        <v>36822.251922573843</v>
      </c>
      <c r="S224" s="159">
        <v>97148.730765950997</v>
      </c>
      <c r="T224" s="159">
        <v>0</v>
      </c>
      <c r="U224" s="309">
        <f t="shared" si="4"/>
        <v>158272.70320952486</v>
      </c>
      <c r="V224" s="44"/>
      <c r="W224" s="44"/>
      <c r="X224" s="110"/>
      <c r="Y224" s="110"/>
      <c r="Z224" s="111"/>
    </row>
    <row r="225" spans="1:26" s="45" customFormat="1">
      <c r="A225" s="127">
        <v>702</v>
      </c>
      <c r="B225" s="124" t="s">
        <v>229</v>
      </c>
      <c r="C225" s="408">
        <v>4124</v>
      </c>
      <c r="D225" s="412">
        <v>1.0883333333333334</v>
      </c>
      <c r="E225" s="420">
        <v>0</v>
      </c>
      <c r="F225" s="155">
        <v>0</v>
      </c>
      <c r="G225" s="419">
        <v>0</v>
      </c>
      <c r="H225" s="269">
        <v>1408</v>
      </c>
      <c r="I225" s="15">
        <v>1489</v>
      </c>
      <c r="J225" s="331">
        <v>0.94560107454667564</v>
      </c>
      <c r="K225" s="427">
        <v>0.94600003367812924</v>
      </c>
      <c r="L225" s="434">
        <v>0.63177893900000004</v>
      </c>
      <c r="M225" s="14">
        <f>Lisäosat[[#This Row],[HYTE-kerroin (sis. Kulttuurihyte)]]*Lisäosat[[#This Row],[Asukasmäärä 31.12.2023]]</f>
        <v>2605.4563444360001</v>
      </c>
      <c r="N225" s="427">
        <f>Lisäosat[[#This Row],[HYTE-kerroin (sis. Kulttuurihyte)]]/$N$7</f>
        <v>0.93551017831095828</v>
      </c>
      <c r="O225" s="439">
        <v>0</v>
      </c>
      <c r="P225" s="197">
        <v>434443.70790000004</v>
      </c>
      <c r="Q225" s="159">
        <v>0</v>
      </c>
      <c r="R225" s="159">
        <v>52706.61891638505</v>
      </c>
      <c r="S225" s="159">
        <v>76813.655549305942</v>
      </c>
      <c r="T225" s="159">
        <v>0</v>
      </c>
      <c r="U225" s="309">
        <f t="shared" si="4"/>
        <v>563963.98236569099</v>
      </c>
      <c r="V225" s="44"/>
      <c r="W225" s="44"/>
      <c r="X225" s="110"/>
      <c r="Y225" s="110"/>
      <c r="Z225" s="111"/>
    </row>
    <row r="226" spans="1:26" s="45" customFormat="1">
      <c r="A226" s="127">
        <v>704</v>
      </c>
      <c r="B226" s="124" t="s">
        <v>230</v>
      </c>
      <c r="C226" s="408">
        <v>6436</v>
      </c>
      <c r="D226" s="412">
        <v>0</v>
      </c>
      <c r="E226" s="420">
        <v>0</v>
      </c>
      <c r="F226" s="155">
        <v>0</v>
      </c>
      <c r="G226" s="419">
        <v>0</v>
      </c>
      <c r="H226" s="269">
        <v>1998</v>
      </c>
      <c r="I226" s="15">
        <v>3058</v>
      </c>
      <c r="J226" s="331">
        <v>0.65336821451929361</v>
      </c>
      <c r="K226" s="427">
        <v>0.65364387750488084</v>
      </c>
      <c r="L226" s="434">
        <v>0.80333817699999999</v>
      </c>
      <c r="M226" s="14">
        <f>Lisäosat[[#This Row],[HYTE-kerroin (sis. Kulttuurihyte)]]*Lisäosat[[#This Row],[Asukasmäärä 31.12.2023]]</f>
        <v>5170.2845071720003</v>
      </c>
      <c r="N226" s="427">
        <f>Lisäosat[[#This Row],[HYTE-kerroin (sis. Kulttuurihyte)]]/$N$7</f>
        <v>1.1895474743093171</v>
      </c>
      <c r="O226" s="439">
        <v>0.42868464251057947</v>
      </c>
      <c r="P226" s="197">
        <v>0</v>
      </c>
      <c r="Q226" s="159">
        <v>0</v>
      </c>
      <c r="R226" s="159">
        <v>56834.570460845294</v>
      </c>
      <c r="S226" s="159">
        <v>152429.51741407637</v>
      </c>
      <c r="T226" s="159">
        <v>29135.191633131828</v>
      </c>
      <c r="U226" s="309">
        <f t="shared" si="4"/>
        <v>238399.2795080535</v>
      </c>
      <c r="V226" s="44"/>
      <c r="W226" s="44"/>
      <c r="X226" s="110"/>
      <c r="Y226" s="110"/>
      <c r="Z226" s="111"/>
    </row>
    <row r="227" spans="1:26" s="45" customFormat="1">
      <c r="A227" s="127">
        <v>707</v>
      </c>
      <c r="B227" s="124" t="s">
        <v>231</v>
      </c>
      <c r="C227" s="408">
        <v>1902</v>
      </c>
      <c r="D227" s="412">
        <v>1.4392333333333334</v>
      </c>
      <c r="E227" s="420">
        <v>0</v>
      </c>
      <c r="F227" s="155">
        <v>0</v>
      </c>
      <c r="G227" s="419">
        <v>0</v>
      </c>
      <c r="H227" s="269">
        <v>480</v>
      </c>
      <c r="I227" s="15">
        <v>605</v>
      </c>
      <c r="J227" s="331">
        <v>0.79338842975206614</v>
      </c>
      <c r="K227" s="427">
        <v>0.79372316875285565</v>
      </c>
      <c r="L227" s="434">
        <v>0.72468702900000004</v>
      </c>
      <c r="M227" s="14">
        <f>Lisäosat[[#This Row],[HYTE-kerroin (sis. Kulttuurihyte)]]*Lisäosat[[#This Row],[Asukasmäärä 31.12.2023]]</f>
        <v>1378.3547291580001</v>
      </c>
      <c r="N227" s="427">
        <f>Lisäosat[[#This Row],[HYTE-kerroin (sis. Kulttuurihyte)]]/$N$7</f>
        <v>1.0730843493968207</v>
      </c>
      <c r="O227" s="439">
        <v>0</v>
      </c>
      <c r="P227" s="197">
        <v>264968.74313100002</v>
      </c>
      <c r="Q227" s="159">
        <v>0</v>
      </c>
      <c r="R227" s="159">
        <v>20395.526418736754</v>
      </c>
      <c r="S227" s="159">
        <v>40636.438072125311</v>
      </c>
      <c r="T227" s="159">
        <v>0</v>
      </c>
      <c r="U227" s="309">
        <f t="shared" si="4"/>
        <v>326000.70762186206</v>
      </c>
      <c r="V227" s="44"/>
      <c r="W227" s="44"/>
      <c r="X227" s="110"/>
      <c r="Y227" s="110"/>
      <c r="Z227" s="111"/>
    </row>
    <row r="228" spans="1:26" s="45" customFormat="1">
      <c r="A228" s="127">
        <v>710</v>
      </c>
      <c r="B228" s="124" t="s">
        <v>232</v>
      </c>
      <c r="C228" s="408">
        <v>27209</v>
      </c>
      <c r="D228" s="412">
        <v>0</v>
      </c>
      <c r="E228" s="420">
        <v>0</v>
      </c>
      <c r="F228" s="155">
        <v>1</v>
      </c>
      <c r="G228" s="419">
        <v>3.6752545113749126E-5</v>
      </c>
      <c r="H228" s="269">
        <v>9777</v>
      </c>
      <c r="I228" s="15">
        <v>11539</v>
      </c>
      <c r="J228" s="331">
        <v>0.84730045931189879</v>
      </c>
      <c r="K228" s="427">
        <v>0.84765794437026698</v>
      </c>
      <c r="L228" s="434">
        <v>0.482569372</v>
      </c>
      <c r="M228" s="14">
        <f>Lisäosat[[#This Row],[HYTE-kerroin (sis. Kulttuurihyte)]]*Lisäosat[[#This Row],[Asukasmäärä 31.12.2023]]</f>
        <v>13130.230042748</v>
      </c>
      <c r="N228" s="427">
        <f>Lisäosat[[#This Row],[HYTE-kerroin (sis. Kulttuurihyte)]]/$N$7</f>
        <v>0.71456728197001063</v>
      </c>
      <c r="O228" s="439">
        <v>0</v>
      </c>
      <c r="P228" s="197">
        <v>0</v>
      </c>
      <c r="Q228" s="159">
        <v>0</v>
      </c>
      <c r="R228" s="159">
        <v>311593.62686308677</v>
      </c>
      <c r="S228" s="159">
        <v>387103.38399667939</v>
      </c>
      <c r="T228" s="159">
        <v>0</v>
      </c>
      <c r="U228" s="309">
        <f t="shared" si="4"/>
        <v>698697.01085976616</v>
      </c>
      <c r="V228" s="44"/>
      <c r="W228" s="44"/>
      <c r="X228" s="110"/>
      <c r="Y228" s="110"/>
      <c r="Z228" s="111"/>
    </row>
    <row r="229" spans="1:26" s="45" customFormat="1">
      <c r="A229" s="127">
        <v>729</v>
      </c>
      <c r="B229" s="124" t="s">
        <v>233</v>
      </c>
      <c r="C229" s="408">
        <v>8847</v>
      </c>
      <c r="D229" s="412">
        <v>0.7809166666666667</v>
      </c>
      <c r="E229" s="420">
        <v>0</v>
      </c>
      <c r="F229" s="155">
        <v>0</v>
      </c>
      <c r="G229" s="419">
        <v>0</v>
      </c>
      <c r="H229" s="269">
        <v>2836</v>
      </c>
      <c r="I229" s="15">
        <v>3042</v>
      </c>
      <c r="J229" s="331">
        <v>0.93228139381985531</v>
      </c>
      <c r="K229" s="427">
        <v>0.9326747332366141</v>
      </c>
      <c r="L229" s="434">
        <v>0.62384849799999997</v>
      </c>
      <c r="M229" s="14">
        <f>Lisäosat[[#This Row],[HYTE-kerroin (sis. Kulttuurihyte)]]*Lisäosat[[#This Row],[Asukasmäärä 31.12.2023]]</f>
        <v>5519.1876618059996</v>
      </c>
      <c r="N229" s="427">
        <f>Lisäosat[[#This Row],[HYTE-kerroin (sis. Kulttuurihyte)]]/$N$7</f>
        <v>0.92376713368566954</v>
      </c>
      <c r="O229" s="439">
        <v>0</v>
      </c>
      <c r="P229" s="197">
        <v>445822.91196750005</v>
      </c>
      <c r="Q229" s="159">
        <v>0</v>
      </c>
      <c r="R229" s="159">
        <v>111476.05416039783</v>
      </c>
      <c r="S229" s="159">
        <v>162715.82552948783</v>
      </c>
      <c r="T229" s="159">
        <v>0</v>
      </c>
      <c r="U229" s="309">
        <f t="shared" si="4"/>
        <v>720014.79165738565</v>
      </c>
      <c r="V229" s="44"/>
      <c r="W229" s="44"/>
      <c r="X229" s="110"/>
      <c r="Y229" s="110"/>
      <c r="Z229" s="111"/>
    </row>
    <row r="230" spans="1:26" s="45" customFormat="1">
      <c r="A230" s="127">
        <v>732</v>
      </c>
      <c r="B230" s="124" t="s">
        <v>234</v>
      </c>
      <c r="C230" s="408">
        <v>3344</v>
      </c>
      <c r="D230" s="412">
        <v>1.7943166666666666</v>
      </c>
      <c r="E230" s="420">
        <v>0</v>
      </c>
      <c r="F230" s="155">
        <v>2</v>
      </c>
      <c r="G230" s="419">
        <v>5.9808612440191385E-4</v>
      </c>
      <c r="H230" s="269">
        <v>1063</v>
      </c>
      <c r="I230" s="15">
        <v>1141</v>
      </c>
      <c r="J230" s="331">
        <v>0.93163891323400527</v>
      </c>
      <c r="K230" s="427">
        <v>0.93203198158138467</v>
      </c>
      <c r="L230" s="434">
        <v>0.72113353800000002</v>
      </c>
      <c r="M230" s="14">
        <f>Lisäosat[[#This Row],[HYTE-kerroin (sis. Kulttuurihyte)]]*Lisäosat[[#This Row],[Asukasmäärä 31.12.2023]]</f>
        <v>2411.470551072</v>
      </c>
      <c r="N230" s="427">
        <f>Lisäosat[[#This Row],[HYTE-kerroin (sis. Kulttuurihyte)]]/$N$7</f>
        <v>1.0678224978316224</v>
      </c>
      <c r="O230" s="439">
        <v>0</v>
      </c>
      <c r="P230" s="197">
        <v>1161577.7371439999</v>
      </c>
      <c r="Q230" s="159">
        <v>0</v>
      </c>
      <c r="R230" s="159">
        <v>42106.818925974112</v>
      </c>
      <c r="S230" s="159">
        <v>71094.596796031503</v>
      </c>
      <c r="T230" s="159">
        <v>0</v>
      </c>
      <c r="U230" s="309">
        <f t="shared" si="4"/>
        <v>1274779.1528660057</v>
      </c>
      <c r="V230" s="44"/>
      <c r="W230" s="44"/>
      <c r="X230" s="110"/>
      <c r="Y230" s="110"/>
      <c r="Z230" s="111"/>
    </row>
    <row r="231" spans="1:26" s="45" customFormat="1">
      <c r="A231" s="127">
        <v>734</v>
      </c>
      <c r="B231" s="124" t="s">
        <v>235</v>
      </c>
      <c r="C231" s="408">
        <v>51100</v>
      </c>
      <c r="D231" s="412">
        <v>0</v>
      </c>
      <c r="E231" s="420">
        <v>0</v>
      </c>
      <c r="F231" s="155">
        <v>0</v>
      </c>
      <c r="G231" s="419">
        <v>0</v>
      </c>
      <c r="H231" s="269">
        <v>18496</v>
      </c>
      <c r="I231" s="15">
        <v>20797</v>
      </c>
      <c r="J231" s="331">
        <v>0.88935904216954365</v>
      </c>
      <c r="K231" s="427">
        <v>0.88973427219049561</v>
      </c>
      <c r="L231" s="434">
        <v>0.62483205600000002</v>
      </c>
      <c r="M231" s="14">
        <f>Lisäosat[[#This Row],[HYTE-kerroin (sis. Kulttuurihyte)]]*Lisäosat[[#This Row],[Asukasmäärä 31.12.2023]]</f>
        <v>31928.918061600001</v>
      </c>
      <c r="N231" s="427">
        <f>Lisäosat[[#This Row],[HYTE-kerroin (sis. Kulttuurihyte)]]/$N$7</f>
        <v>0.9252235426653922</v>
      </c>
      <c r="O231" s="439">
        <v>0</v>
      </c>
      <c r="P231" s="197">
        <v>0</v>
      </c>
      <c r="Q231" s="159">
        <v>0</v>
      </c>
      <c r="R231" s="159">
        <v>614237.84188370267</v>
      </c>
      <c r="S231" s="159">
        <v>941323.35753131274</v>
      </c>
      <c r="T231" s="159">
        <v>0</v>
      </c>
      <c r="U231" s="309">
        <f t="shared" si="4"/>
        <v>1555561.1994150155</v>
      </c>
      <c r="V231" s="44"/>
      <c r="W231" s="44"/>
      <c r="X231" s="110"/>
      <c r="Y231" s="110"/>
      <c r="Z231" s="111"/>
    </row>
    <row r="232" spans="1:26" s="45" customFormat="1">
      <c r="A232" s="127">
        <v>738</v>
      </c>
      <c r="B232" s="124" t="s">
        <v>236</v>
      </c>
      <c r="C232" s="408">
        <v>2974</v>
      </c>
      <c r="D232" s="412">
        <v>0</v>
      </c>
      <c r="E232" s="420">
        <v>0</v>
      </c>
      <c r="F232" s="155">
        <v>0</v>
      </c>
      <c r="G232" s="419">
        <v>0</v>
      </c>
      <c r="H232" s="269">
        <v>733</v>
      </c>
      <c r="I232" s="15">
        <v>1267</v>
      </c>
      <c r="J232" s="331">
        <v>0.57853196527229678</v>
      </c>
      <c r="K232" s="427">
        <v>0.57877605404989663</v>
      </c>
      <c r="L232" s="434">
        <v>0.39214574699999999</v>
      </c>
      <c r="M232" s="14">
        <f>Lisäosat[[#This Row],[HYTE-kerroin (sis. Kulttuurihyte)]]*Lisäosat[[#This Row],[Asukasmäärä 31.12.2023]]</f>
        <v>1166.2414515779999</v>
      </c>
      <c r="N232" s="427">
        <f>Lisäosat[[#This Row],[HYTE-kerroin (sis. Kulttuurihyte)]]/$N$7</f>
        <v>0.58067199625319244</v>
      </c>
      <c r="O232" s="439">
        <v>0.27991623107045394</v>
      </c>
      <c r="P232" s="197">
        <v>0</v>
      </c>
      <c r="Q232" s="159">
        <v>0</v>
      </c>
      <c r="R232" s="159">
        <v>23254.492593896743</v>
      </c>
      <c r="S232" s="159">
        <v>34382.947670622758</v>
      </c>
      <c r="T232" s="159">
        <v>8790.8923999092767</v>
      </c>
      <c r="U232" s="309">
        <f t="shared" si="4"/>
        <v>66428.332664428774</v>
      </c>
      <c r="V232" s="44"/>
      <c r="W232" s="44"/>
      <c r="X232" s="110"/>
      <c r="Y232" s="110"/>
      <c r="Z232" s="111"/>
    </row>
    <row r="233" spans="1:26" s="45" customFormat="1">
      <c r="A233" s="127">
        <v>739</v>
      </c>
      <c r="B233" s="124" t="s">
        <v>237</v>
      </c>
      <c r="C233" s="408">
        <v>3216</v>
      </c>
      <c r="D233" s="412">
        <v>0.60026666666666662</v>
      </c>
      <c r="E233" s="420">
        <v>0</v>
      </c>
      <c r="F233" s="155">
        <v>0</v>
      </c>
      <c r="G233" s="419">
        <v>0</v>
      </c>
      <c r="H233" s="269">
        <v>890</v>
      </c>
      <c r="I233" s="15">
        <v>1109</v>
      </c>
      <c r="J233" s="331">
        <v>0.80252479711451763</v>
      </c>
      <c r="K233" s="427">
        <v>0.80286339084568514</v>
      </c>
      <c r="L233" s="434">
        <v>0.77306430900000001</v>
      </c>
      <c r="M233" s="14">
        <f>Lisäosat[[#This Row],[HYTE-kerroin (sis. Kulttuurihyte)]]*Lisäosat[[#This Row],[Asukasmäärä 31.12.2023]]</f>
        <v>2486.1748177439999</v>
      </c>
      <c r="N233" s="427">
        <f>Lisäosat[[#This Row],[HYTE-kerroin (sis. Kulttuurihyte)]]/$N$7</f>
        <v>1.1447192758643507</v>
      </c>
      <c r="O233" s="439">
        <v>0</v>
      </c>
      <c r="P233" s="197">
        <v>124572.42892799998</v>
      </c>
      <c r="Q233" s="159">
        <v>0</v>
      </c>
      <c r="R233" s="159">
        <v>34882.937063605859</v>
      </c>
      <c r="S233" s="159">
        <v>73297.016276388866</v>
      </c>
      <c r="T233" s="159">
        <v>0</v>
      </c>
      <c r="U233" s="309">
        <f t="shared" si="4"/>
        <v>232752.38226799472</v>
      </c>
      <c r="V233" s="44"/>
      <c r="W233" s="44"/>
      <c r="X233" s="110"/>
      <c r="Y233" s="110"/>
      <c r="Z233" s="111"/>
    </row>
    <row r="234" spans="1:26" s="45" customFormat="1">
      <c r="A234" s="127">
        <v>740</v>
      </c>
      <c r="B234" s="124" t="s">
        <v>238</v>
      </c>
      <c r="C234" s="408">
        <v>31843</v>
      </c>
      <c r="D234" s="412">
        <v>0.3679</v>
      </c>
      <c r="E234" s="420">
        <v>0</v>
      </c>
      <c r="F234" s="155">
        <v>1</v>
      </c>
      <c r="G234" s="419">
        <v>3.140407624909713E-5</v>
      </c>
      <c r="H234" s="269">
        <v>11989</v>
      </c>
      <c r="I234" s="15">
        <v>11889</v>
      </c>
      <c r="J234" s="331">
        <v>1.0084111363445201</v>
      </c>
      <c r="K234" s="427">
        <v>1.0088365957078114</v>
      </c>
      <c r="L234" s="434">
        <v>0.59707966499999998</v>
      </c>
      <c r="M234" s="14">
        <f>Lisäosat[[#This Row],[HYTE-kerroin (sis. Kulttuurihyte)]]*Lisäosat[[#This Row],[Asukasmäärä 31.12.2023]]</f>
        <v>19012.807772594999</v>
      </c>
      <c r="N234" s="427">
        <f>Lisäosat[[#This Row],[HYTE-kerroin (sis. Kulttuurihyte)]]/$N$7</f>
        <v>0.88412903531435572</v>
      </c>
      <c r="O234" s="439">
        <v>0</v>
      </c>
      <c r="P234" s="197">
        <v>755971.51184099994</v>
      </c>
      <c r="Q234" s="159">
        <v>0</v>
      </c>
      <c r="R234" s="159">
        <v>434000.42401834304</v>
      </c>
      <c r="S234" s="159">
        <v>560532.61855186417</v>
      </c>
      <c r="T234" s="159">
        <v>0</v>
      </c>
      <c r="U234" s="309">
        <f t="shared" si="4"/>
        <v>1750504.5544112073</v>
      </c>
      <c r="V234" s="44"/>
      <c r="W234" s="44"/>
      <c r="X234" s="110"/>
      <c r="Y234" s="110"/>
      <c r="Z234" s="111"/>
    </row>
    <row r="235" spans="1:26" s="45" customFormat="1">
      <c r="A235" s="127">
        <v>742</v>
      </c>
      <c r="B235" s="124" t="s">
        <v>239</v>
      </c>
      <c r="C235" s="408">
        <v>978</v>
      </c>
      <c r="D235" s="412">
        <v>1.9433833333333332</v>
      </c>
      <c r="E235" s="420">
        <v>0</v>
      </c>
      <c r="F235" s="155">
        <v>5</v>
      </c>
      <c r="G235" s="419">
        <v>5.1124744376278121E-3</v>
      </c>
      <c r="H235" s="269">
        <v>342</v>
      </c>
      <c r="I235" s="15">
        <v>368</v>
      </c>
      <c r="J235" s="331">
        <v>0.92934782608695654</v>
      </c>
      <c r="K235" s="427">
        <v>0.92973992780034731</v>
      </c>
      <c r="L235" s="434">
        <v>0.47773449499999998</v>
      </c>
      <c r="M235" s="14">
        <f>Lisäosat[[#This Row],[HYTE-kerroin (sis. Kulttuurihyte)]]*Lisäosat[[#This Row],[Asukasmäärä 31.12.2023]]</f>
        <v>467.22433610999997</v>
      </c>
      <c r="N235" s="427">
        <f>Lisäosat[[#This Row],[HYTE-kerroin (sis. Kulttuurihyte)]]/$N$7</f>
        <v>0.70740801095736683</v>
      </c>
      <c r="O235" s="439">
        <v>0</v>
      </c>
      <c r="P235" s="197">
        <v>367942.74875099998</v>
      </c>
      <c r="Q235" s="159">
        <v>0</v>
      </c>
      <c r="R235" s="159">
        <v>12284.449123241873</v>
      </c>
      <c r="S235" s="159">
        <v>13774.634641201628</v>
      </c>
      <c r="T235" s="159">
        <v>0</v>
      </c>
      <c r="U235" s="309">
        <f t="shared" si="4"/>
        <v>394001.8325154435</v>
      </c>
      <c r="V235" s="44"/>
      <c r="W235" s="44"/>
      <c r="X235" s="110"/>
      <c r="Y235" s="110"/>
      <c r="Z235" s="111"/>
    </row>
    <row r="236" spans="1:26" s="45" customFormat="1">
      <c r="A236" s="127">
        <v>743</v>
      </c>
      <c r="B236" s="124" t="s">
        <v>240</v>
      </c>
      <c r="C236" s="408">
        <v>66160</v>
      </c>
      <c r="D236" s="412">
        <v>0</v>
      </c>
      <c r="E236" s="420">
        <v>0</v>
      </c>
      <c r="F236" s="155">
        <v>4</v>
      </c>
      <c r="G236" s="419">
        <v>6.0459492140266024E-5</v>
      </c>
      <c r="H236" s="269">
        <v>33489</v>
      </c>
      <c r="I236" s="15">
        <v>29904</v>
      </c>
      <c r="J236" s="331">
        <v>1.1198836276083468</v>
      </c>
      <c r="K236" s="427">
        <v>1.1203561183990471</v>
      </c>
      <c r="L236" s="434">
        <v>0.68708904500000001</v>
      </c>
      <c r="M236" s="14">
        <f>Lisäosat[[#This Row],[HYTE-kerroin (sis. Kulttuurihyte)]]*Lisäosat[[#This Row],[Asukasmäärä 31.12.2023]]</f>
        <v>45457.811217200004</v>
      </c>
      <c r="N236" s="427">
        <f>Lisäosat[[#This Row],[HYTE-kerroin (sis. Kulttuurihyte)]]/$N$7</f>
        <v>1.0174109254431098</v>
      </c>
      <c r="O236" s="439">
        <v>1.0443468097639668</v>
      </c>
      <c r="P236" s="197">
        <v>0</v>
      </c>
      <c r="Q236" s="159">
        <v>0</v>
      </c>
      <c r="R236" s="159">
        <v>1001398.4983172258</v>
      </c>
      <c r="S236" s="159">
        <v>1340180.0649318646</v>
      </c>
      <c r="T236" s="159">
        <v>729632.48090287158</v>
      </c>
      <c r="U236" s="309">
        <f t="shared" si="4"/>
        <v>3071211.0441519623</v>
      </c>
      <c r="V236" s="44"/>
      <c r="W236" s="44"/>
      <c r="X236" s="110"/>
      <c r="Y236" s="110"/>
      <c r="Z236" s="111"/>
    </row>
    <row r="237" spans="1:26" s="45" customFormat="1">
      <c r="A237" s="127">
        <v>746</v>
      </c>
      <c r="B237" s="124" t="s">
        <v>241</v>
      </c>
      <c r="C237" s="408">
        <v>4713</v>
      </c>
      <c r="D237" s="412">
        <v>0.17035</v>
      </c>
      <c r="E237" s="420">
        <v>0</v>
      </c>
      <c r="F237" s="155">
        <v>1</v>
      </c>
      <c r="G237" s="419">
        <v>2.1217907914279651E-4</v>
      </c>
      <c r="H237" s="269">
        <v>2132</v>
      </c>
      <c r="I237" s="15">
        <v>1792</v>
      </c>
      <c r="J237" s="331">
        <v>1.1897321428571428</v>
      </c>
      <c r="K237" s="427">
        <v>1.1902341034779091</v>
      </c>
      <c r="L237" s="434">
        <v>0.65801994699999999</v>
      </c>
      <c r="M237" s="14">
        <f>Lisäosat[[#This Row],[HYTE-kerroin (sis. Kulttuurihyte)]]*Lisäosat[[#This Row],[Asukasmäärä 31.12.2023]]</f>
        <v>3101.2480102109998</v>
      </c>
      <c r="N237" s="427">
        <f>Lisäosat[[#This Row],[HYTE-kerroin (sis. Kulttuurihyte)]]/$N$7</f>
        <v>0.9743666968773983</v>
      </c>
      <c r="O237" s="439">
        <v>0</v>
      </c>
      <c r="P237" s="197">
        <v>51808.526761500005</v>
      </c>
      <c r="Q237" s="159">
        <v>0</v>
      </c>
      <c r="R237" s="159">
        <v>75785.335684130623</v>
      </c>
      <c r="S237" s="159">
        <v>91430.507725849078</v>
      </c>
      <c r="T237" s="159">
        <v>0</v>
      </c>
      <c r="U237" s="309">
        <f t="shared" si="4"/>
        <v>219024.37017147971</v>
      </c>
      <c r="V237" s="44"/>
      <c r="W237" s="44"/>
      <c r="X237" s="110"/>
      <c r="Y237" s="110"/>
      <c r="Z237" s="111"/>
    </row>
    <row r="238" spans="1:26" s="45" customFormat="1">
      <c r="A238" s="127">
        <v>747</v>
      </c>
      <c r="B238" s="124" t="s">
        <v>242</v>
      </c>
      <c r="C238" s="408">
        <v>1283</v>
      </c>
      <c r="D238" s="412">
        <v>1.2231166666666669</v>
      </c>
      <c r="E238" s="420">
        <v>0</v>
      </c>
      <c r="F238" s="155">
        <v>0</v>
      </c>
      <c r="G238" s="419">
        <v>0</v>
      </c>
      <c r="H238" s="269">
        <v>354</v>
      </c>
      <c r="I238" s="15">
        <v>434</v>
      </c>
      <c r="J238" s="331">
        <v>0.81566820276497698</v>
      </c>
      <c r="K238" s="427">
        <v>0.81601234183851323</v>
      </c>
      <c r="L238" s="434">
        <v>0.36841537600000002</v>
      </c>
      <c r="M238" s="14">
        <f>Lisäosat[[#This Row],[HYTE-kerroin (sis. Kulttuurihyte)]]*Lisäosat[[#This Row],[Asukasmäärä 31.12.2023]]</f>
        <v>472.67692740800004</v>
      </c>
      <c r="N238" s="427">
        <f>Lisäosat[[#This Row],[HYTE-kerroin (sis. Kulttuurihyte)]]/$N$7</f>
        <v>0.54553311739038324</v>
      </c>
      <c r="O238" s="439">
        <v>0</v>
      </c>
      <c r="P238" s="197">
        <v>151896.39425325001</v>
      </c>
      <c r="Q238" s="159">
        <v>0</v>
      </c>
      <c r="R238" s="159">
        <v>14144.211205159758</v>
      </c>
      <c r="S238" s="159">
        <v>13935.387083172165</v>
      </c>
      <c r="T238" s="159">
        <v>0</v>
      </c>
      <c r="U238" s="309">
        <f t="shared" si="4"/>
        <v>179975.99254158192</v>
      </c>
      <c r="V238" s="44"/>
      <c r="W238" s="44"/>
      <c r="X238" s="110"/>
      <c r="Y238" s="110"/>
      <c r="Z238" s="111"/>
    </row>
    <row r="239" spans="1:26" s="45" customFormat="1">
      <c r="A239" s="127">
        <v>748</v>
      </c>
      <c r="B239" s="124" t="s">
        <v>243</v>
      </c>
      <c r="C239" s="408">
        <v>4837</v>
      </c>
      <c r="D239" s="412">
        <v>0.54026666666666667</v>
      </c>
      <c r="E239" s="420">
        <v>0</v>
      </c>
      <c r="F239" s="155">
        <v>0</v>
      </c>
      <c r="G239" s="419">
        <v>0</v>
      </c>
      <c r="H239" s="269">
        <v>1631</v>
      </c>
      <c r="I239" s="15">
        <v>1799</v>
      </c>
      <c r="J239" s="331">
        <v>0.9066147859922179</v>
      </c>
      <c r="K239" s="427">
        <v>0.90699729639466831</v>
      </c>
      <c r="L239" s="434">
        <v>0.61465416900000003</v>
      </c>
      <c r="M239" s="14">
        <f>Lisäosat[[#This Row],[HYTE-kerroin (sis. Kulttuurihyte)]]*Lisäosat[[#This Row],[Asukasmäärä 31.12.2023]]</f>
        <v>2973.0822154530001</v>
      </c>
      <c r="N239" s="427">
        <f>Lisäosat[[#This Row],[HYTE-kerroin (sis. Kulttuurihyte)]]/$N$7</f>
        <v>0.91015257987377118</v>
      </c>
      <c r="O239" s="439">
        <v>0</v>
      </c>
      <c r="P239" s="197">
        <v>168634.304496</v>
      </c>
      <c r="Q239" s="159">
        <v>0</v>
      </c>
      <c r="R239" s="159">
        <v>59270.341415150251</v>
      </c>
      <c r="S239" s="159">
        <v>87651.943854392186</v>
      </c>
      <c r="T239" s="159">
        <v>0</v>
      </c>
      <c r="U239" s="309">
        <f t="shared" si="4"/>
        <v>315556.58976554242</v>
      </c>
      <c r="V239" s="44"/>
      <c r="W239" s="44"/>
      <c r="X239" s="110"/>
      <c r="Y239" s="110"/>
      <c r="Z239" s="111"/>
    </row>
    <row r="240" spans="1:26" s="45" customFormat="1">
      <c r="A240" s="127">
        <v>749</v>
      </c>
      <c r="B240" s="124" t="s">
        <v>244</v>
      </c>
      <c r="C240" s="408">
        <v>21290</v>
      </c>
      <c r="D240" s="412">
        <v>0</v>
      </c>
      <c r="E240" s="420">
        <v>0</v>
      </c>
      <c r="F240" s="155">
        <v>1</v>
      </c>
      <c r="G240" s="419">
        <v>4.6970408642555191E-5</v>
      </c>
      <c r="H240" s="269">
        <v>7227</v>
      </c>
      <c r="I240" s="15">
        <v>9213</v>
      </c>
      <c r="J240" s="331">
        <v>0.78443503744708565</v>
      </c>
      <c r="K240" s="427">
        <v>0.78476599891661625</v>
      </c>
      <c r="L240" s="434">
        <v>0.699938281</v>
      </c>
      <c r="M240" s="14">
        <f>Lisäosat[[#This Row],[HYTE-kerroin (sis. Kulttuurihyte)]]*Lisäosat[[#This Row],[Asukasmäärä 31.12.2023]]</f>
        <v>14901.68600249</v>
      </c>
      <c r="N240" s="427">
        <f>Lisäosat[[#This Row],[HYTE-kerroin (sis. Kulttuurihyte)]]/$N$7</f>
        <v>1.0364375031263515</v>
      </c>
      <c r="O240" s="439">
        <v>6.1443734444773433E-2</v>
      </c>
      <c r="P240" s="197">
        <v>0</v>
      </c>
      <c r="Q240" s="159">
        <v>0</v>
      </c>
      <c r="R240" s="159">
        <v>225720.59625978861</v>
      </c>
      <c r="S240" s="159">
        <v>439329.1709314601</v>
      </c>
      <c r="T240" s="159">
        <v>13813.927842836631</v>
      </c>
      <c r="U240" s="309">
        <f t="shared" si="4"/>
        <v>678863.69503408531</v>
      </c>
      <c r="V240" s="44"/>
      <c r="W240" s="44"/>
      <c r="X240" s="110"/>
      <c r="Y240" s="110"/>
      <c r="Z240" s="111"/>
    </row>
    <row r="241" spans="1:26" s="45" customFormat="1">
      <c r="A241" s="127">
        <v>751</v>
      </c>
      <c r="B241" s="124" t="s">
        <v>245</v>
      </c>
      <c r="C241" s="408">
        <v>2828</v>
      </c>
      <c r="D241" s="412">
        <v>0.79239999999999999</v>
      </c>
      <c r="E241" s="420">
        <v>0</v>
      </c>
      <c r="F241" s="155">
        <v>0</v>
      </c>
      <c r="G241" s="419">
        <v>0</v>
      </c>
      <c r="H241" s="269">
        <v>562</v>
      </c>
      <c r="I241" s="15">
        <v>1000</v>
      </c>
      <c r="J241" s="331">
        <v>0.56200000000000006</v>
      </c>
      <c r="K241" s="427">
        <v>0.56223711376595509</v>
      </c>
      <c r="L241" s="434">
        <v>0.61687676000000002</v>
      </c>
      <c r="M241" s="14">
        <f>Lisäosat[[#This Row],[HYTE-kerroin (sis. Kulttuurihyte)]]*Lisäosat[[#This Row],[Asukasmäärä 31.12.2023]]</f>
        <v>1744.5274772800001</v>
      </c>
      <c r="N241" s="427">
        <f>Lisäosat[[#This Row],[HYTE-kerroin (sis. Kulttuurihyte)]]/$N$7</f>
        <v>0.91344369386059299</v>
      </c>
      <c r="O241" s="439">
        <v>0</v>
      </c>
      <c r="P241" s="197">
        <v>144605.74161600001</v>
      </c>
      <c r="Q241" s="159">
        <v>0</v>
      </c>
      <c r="R241" s="159">
        <v>21480.988594933933</v>
      </c>
      <c r="S241" s="159">
        <v>51431.88563579374</v>
      </c>
      <c r="T241" s="159">
        <v>0</v>
      </c>
      <c r="U241" s="309">
        <f t="shared" si="4"/>
        <v>217518.61584672768</v>
      </c>
      <c r="V241" s="44"/>
      <c r="W241" s="44"/>
      <c r="X241" s="110"/>
      <c r="Y241" s="110"/>
      <c r="Z241" s="111"/>
    </row>
    <row r="242" spans="1:26" s="45" customFormat="1">
      <c r="A242" s="127">
        <v>753</v>
      </c>
      <c r="B242" s="124" t="s">
        <v>246</v>
      </c>
      <c r="C242" s="408">
        <v>22595</v>
      </c>
      <c r="D242" s="412">
        <v>0</v>
      </c>
      <c r="E242" s="420">
        <v>0</v>
      </c>
      <c r="F242" s="155">
        <v>3</v>
      </c>
      <c r="G242" s="419">
        <v>1.3277273733126798E-4</v>
      </c>
      <c r="H242" s="269">
        <v>7080</v>
      </c>
      <c r="I242" s="15">
        <v>11047</v>
      </c>
      <c r="J242" s="331">
        <v>0.64089798135240339</v>
      </c>
      <c r="K242" s="427">
        <v>0.64116838301423873</v>
      </c>
      <c r="L242" s="434">
        <v>0.58065434199999999</v>
      </c>
      <c r="M242" s="14">
        <f>Lisäosat[[#This Row],[HYTE-kerroin (sis. Kulttuurihyte)]]*Lisäosat[[#This Row],[Asukasmäärä 31.12.2023]]</f>
        <v>13119.88485749</v>
      </c>
      <c r="N242" s="427">
        <f>Lisäosat[[#This Row],[HYTE-kerroin (sis. Kulttuurihyte)]]/$N$7</f>
        <v>0.85980714691322135</v>
      </c>
      <c r="O242" s="439">
        <v>1.3790967214875567</v>
      </c>
      <c r="P242" s="197">
        <v>0</v>
      </c>
      <c r="Q242" s="159">
        <v>0</v>
      </c>
      <c r="R242" s="159">
        <v>195722.06678793282</v>
      </c>
      <c r="S242" s="159">
        <v>386798.38886647933</v>
      </c>
      <c r="T242" s="159">
        <v>329056.89085643977</v>
      </c>
      <c r="U242" s="309">
        <f t="shared" si="4"/>
        <v>911577.34651085199</v>
      </c>
      <c r="V242" s="44"/>
      <c r="W242" s="44"/>
      <c r="X242" s="110"/>
      <c r="Y242" s="110"/>
      <c r="Z242" s="111"/>
    </row>
    <row r="243" spans="1:26" s="45" customFormat="1">
      <c r="A243" s="127">
        <v>755</v>
      </c>
      <c r="B243" s="124" t="s">
        <v>247</v>
      </c>
      <c r="C243" s="408">
        <v>6158</v>
      </c>
      <c r="D243" s="412">
        <v>0</v>
      </c>
      <c r="E243" s="420">
        <v>0</v>
      </c>
      <c r="F243" s="155">
        <v>0</v>
      </c>
      <c r="G243" s="419">
        <v>0</v>
      </c>
      <c r="H243" s="269">
        <v>1305</v>
      </c>
      <c r="I243" s="15">
        <v>2994</v>
      </c>
      <c r="J243" s="331">
        <v>0.43587174348697394</v>
      </c>
      <c r="K243" s="427">
        <v>0.43605564240258177</v>
      </c>
      <c r="L243" s="434">
        <v>0.72428244200000003</v>
      </c>
      <c r="M243" s="14">
        <f>Lisäosat[[#This Row],[HYTE-kerroin (sis. Kulttuurihyte)]]*Lisäosat[[#This Row],[Asukasmäärä 31.12.2023]]</f>
        <v>4460.1312778359998</v>
      </c>
      <c r="N243" s="427">
        <f>Lisäosat[[#This Row],[HYTE-kerroin (sis. Kulttuurihyte)]]/$N$7</f>
        <v>1.0724852549459809</v>
      </c>
      <c r="O243" s="439">
        <v>5.1472421440967864E-2</v>
      </c>
      <c r="P243" s="197">
        <v>0</v>
      </c>
      <c r="Q243" s="159">
        <v>0</v>
      </c>
      <c r="R243" s="159">
        <v>36277.466026312984</v>
      </c>
      <c r="S243" s="159">
        <v>131492.89122115084</v>
      </c>
      <c r="T243" s="159">
        <v>3347.17332822555</v>
      </c>
      <c r="U243" s="309">
        <f t="shared" si="4"/>
        <v>171117.53057568939</v>
      </c>
      <c r="V243" s="44"/>
      <c r="W243" s="44"/>
      <c r="X243" s="110"/>
      <c r="Y243" s="110"/>
      <c r="Z243" s="111"/>
    </row>
    <row r="244" spans="1:26" s="45" customFormat="1">
      <c r="A244" s="127">
        <v>758</v>
      </c>
      <c r="B244" s="124" t="s">
        <v>248</v>
      </c>
      <c r="C244" s="408">
        <v>8126</v>
      </c>
      <c r="D244" s="412">
        <v>1.4546833333333333</v>
      </c>
      <c r="E244" s="420">
        <v>1</v>
      </c>
      <c r="F244" s="155">
        <v>128</v>
      </c>
      <c r="G244" s="419">
        <v>1.5751907457543686E-2</v>
      </c>
      <c r="H244" s="269">
        <v>3791</v>
      </c>
      <c r="I244" s="15">
        <v>3579</v>
      </c>
      <c r="J244" s="331">
        <v>1.0592344230231909</v>
      </c>
      <c r="K244" s="427">
        <v>1.0596813252706505</v>
      </c>
      <c r="L244" s="434">
        <v>0.63836567799999999</v>
      </c>
      <c r="M244" s="14">
        <f>Lisäosat[[#This Row],[HYTE-kerroin (sis. Kulttuurihyte)]]*Lisäosat[[#This Row],[Asukasmäärä 31.12.2023]]</f>
        <v>5187.3594994280002</v>
      </c>
      <c r="N244" s="427">
        <f>Lisäosat[[#This Row],[HYTE-kerroin (sis. Kulttuurihyte)]]/$N$7</f>
        <v>0.94526352872515707</v>
      </c>
      <c r="O244" s="439">
        <v>0</v>
      </c>
      <c r="P244" s="197">
        <v>1144190.1512295001</v>
      </c>
      <c r="Q244" s="159">
        <v>120767.99999999999</v>
      </c>
      <c r="R244" s="159">
        <v>116334.21076800713</v>
      </c>
      <c r="S244" s="159">
        <v>152932.91965931468</v>
      </c>
      <c r="T244" s="159">
        <v>0</v>
      </c>
      <c r="U244" s="309">
        <f t="shared" si="4"/>
        <v>1534225.281656822</v>
      </c>
      <c r="V244" s="44"/>
      <c r="W244" s="44"/>
      <c r="X244" s="110"/>
      <c r="Y244" s="110"/>
      <c r="Z244" s="111"/>
    </row>
    <row r="245" spans="1:26" s="45" customFormat="1">
      <c r="A245" s="127">
        <v>759</v>
      </c>
      <c r="B245" s="124" t="s">
        <v>249</v>
      </c>
      <c r="C245" s="408">
        <v>1873</v>
      </c>
      <c r="D245" s="412">
        <v>1.1890000000000001</v>
      </c>
      <c r="E245" s="420">
        <v>0</v>
      </c>
      <c r="F245" s="155">
        <v>0</v>
      </c>
      <c r="G245" s="419">
        <v>0</v>
      </c>
      <c r="H245" s="269">
        <v>683</v>
      </c>
      <c r="I245" s="15">
        <v>686</v>
      </c>
      <c r="J245" s="331">
        <v>0.99562682215743437</v>
      </c>
      <c r="K245" s="427">
        <v>0.99604688768285721</v>
      </c>
      <c r="L245" s="434">
        <v>0.542168698</v>
      </c>
      <c r="M245" s="14">
        <f>Lisäosat[[#This Row],[HYTE-kerroin (sis. Kulttuurihyte)]]*Lisäosat[[#This Row],[Asukasmäärä 31.12.2023]]</f>
        <v>1015.4819713540001</v>
      </c>
      <c r="N245" s="427">
        <f>Lisäosat[[#This Row],[HYTE-kerroin (sis. Kulttuurihyte)]]/$N$7</f>
        <v>0.80281931547673846</v>
      </c>
      <c r="O245" s="439">
        <v>0</v>
      </c>
      <c r="P245" s="197">
        <v>215562.17461500003</v>
      </c>
      <c r="Q245" s="159">
        <v>0</v>
      </c>
      <c r="R245" s="159">
        <v>25204.199536711185</v>
      </c>
      <c r="S245" s="159">
        <v>29938.280305748707</v>
      </c>
      <c r="T245" s="159">
        <v>0</v>
      </c>
      <c r="U245" s="309">
        <f t="shared" si="4"/>
        <v>270704.65445745992</v>
      </c>
      <c r="V245" s="44"/>
      <c r="W245" s="44"/>
      <c r="X245" s="110"/>
      <c r="Y245" s="110"/>
      <c r="Z245" s="111"/>
    </row>
    <row r="246" spans="1:26" s="45" customFormat="1">
      <c r="A246" s="127">
        <v>761</v>
      </c>
      <c r="B246" s="124" t="s">
        <v>250</v>
      </c>
      <c r="C246" s="408">
        <v>8410</v>
      </c>
      <c r="D246" s="412">
        <v>0</v>
      </c>
      <c r="E246" s="420">
        <v>0</v>
      </c>
      <c r="F246" s="155">
        <v>0</v>
      </c>
      <c r="G246" s="419">
        <v>0</v>
      </c>
      <c r="H246" s="269">
        <v>2700</v>
      </c>
      <c r="I246" s="15">
        <v>3224</v>
      </c>
      <c r="J246" s="331">
        <v>0.83746898263027292</v>
      </c>
      <c r="K246" s="427">
        <v>0.83782231968426224</v>
      </c>
      <c r="L246" s="434">
        <v>0.58823578499999996</v>
      </c>
      <c r="M246" s="14">
        <f>Lisäosat[[#This Row],[HYTE-kerroin (sis. Kulttuurihyte)]]*Lisäosat[[#This Row],[Asukasmäärä 31.12.2023]]</f>
        <v>4947.06295185</v>
      </c>
      <c r="N246" s="427">
        <f>Lisäosat[[#This Row],[HYTE-kerroin (sis. Kulttuurihyte)]]/$N$7</f>
        <v>0.87103341080864438</v>
      </c>
      <c r="O246" s="439">
        <v>0</v>
      </c>
      <c r="P246" s="197">
        <v>0</v>
      </c>
      <c r="Q246" s="159">
        <v>0</v>
      </c>
      <c r="R246" s="159">
        <v>95192.617922438149</v>
      </c>
      <c r="S246" s="159">
        <v>145848.53450937293</v>
      </c>
      <c r="T246" s="159">
        <v>0</v>
      </c>
      <c r="U246" s="309">
        <f t="shared" si="4"/>
        <v>241041.15243181109</v>
      </c>
      <c r="V246" s="44"/>
      <c r="W246" s="44"/>
      <c r="X246" s="110"/>
      <c r="Y246" s="110"/>
      <c r="Z246" s="111"/>
    </row>
    <row r="247" spans="1:26" s="45" customFormat="1">
      <c r="A247" s="127">
        <v>762</v>
      </c>
      <c r="B247" s="124" t="s">
        <v>251</v>
      </c>
      <c r="C247" s="408">
        <v>3637</v>
      </c>
      <c r="D247" s="412">
        <v>1.0705166666666668</v>
      </c>
      <c r="E247" s="420">
        <v>0</v>
      </c>
      <c r="F247" s="155">
        <v>0</v>
      </c>
      <c r="G247" s="419">
        <v>0</v>
      </c>
      <c r="H247" s="269">
        <v>1084</v>
      </c>
      <c r="I247" s="15">
        <v>1282</v>
      </c>
      <c r="J247" s="331">
        <v>0.8455538221528861</v>
      </c>
      <c r="K247" s="427">
        <v>0.8459105702864953</v>
      </c>
      <c r="L247" s="434">
        <v>0.636737361</v>
      </c>
      <c r="M247" s="14">
        <f>Lisäosat[[#This Row],[HYTE-kerroin (sis. Kulttuurihyte)]]*Lisäosat[[#This Row],[Asukasmäärä 31.12.2023]]</f>
        <v>2315.8137819570002</v>
      </c>
      <c r="N247" s="427">
        <f>Lisäosat[[#This Row],[HYTE-kerroin (sis. Kulttuurihyte)]]/$N$7</f>
        <v>0.94285238926959392</v>
      </c>
      <c r="O247" s="439">
        <v>0</v>
      </c>
      <c r="P247" s="197">
        <v>376868.34314775001</v>
      </c>
      <c r="Q247" s="159">
        <v>0</v>
      </c>
      <c r="R247" s="159">
        <v>41564.551813223094</v>
      </c>
      <c r="S247" s="159">
        <v>68274.458922890641</v>
      </c>
      <c r="T247" s="159">
        <v>0</v>
      </c>
      <c r="U247" s="309">
        <f t="shared" si="4"/>
        <v>486707.35388386378</v>
      </c>
      <c r="V247" s="44"/>
      <c r="W247" s="44"/>
      <c r="X247" s="110"/>
      <c r="Y247" s="110"/>
      <c r="Z247" s="111"/>
    </row>
    <row r="248" spans="1:26" s="45" customFormat="1">
      <c r="A248" s="127">
        <v>765</v>
      </c>
      <c r="B248" s="124" t="s">
        <v>252</v>
      </c>
      <c r="C248" s="408">
        <v>10274</v>
      </c>
      <c r="D248" s="412">
        <v>0.59563333333333335</v>
      </c>
      <c r="E248" s="420">
        <v>0</v>
      </c>
      <c r="F248" s="155">
        <v>0</v>
      </c>
      <c r="G248" s="419">
        <v>0</v>
      </c>
      <c r="H248" s="269">
        <v>4633</v>
      </c>
      <c r="I248" s="15">
        <v>4411</v>
      </c>
      <c r="J248" s="331">
        <v>1.0503287236454319</v>
      </c>
      <c r="K248" s="427">
        <v>1.0507718684837848</v>
      </c>
      <c r="L248" s="434">
        <v>0.67202712099999995</v>
      </c>
      <c r="M248" s="14">
        <f>Lisäosat[[#This Row],[HYTE-kerroin (sis. Kulttuurihyte)]]*Lisäosat[[#This Row],[Asukasmäärä 31.12.2023]]</f>
        <v>6904.4066411539998</v>
      </c>
      <c r="N248" s="427">
        <f>Lisäosat[[#This Row],[HYTE-kerroin (sis. Kulttuurihyte)]]/$N$7</f>
        <v>0.99510789769538344</v>
      </c>
      <c r="O248" s="439">
        <v>0</v>
      </c>
      <c r="P248" s="197">
        <v>394893.71400600002</v>
      </c>
      <c r="Q248" s="159">
        <v>0</v>
      </c>
      <c r="R248" s="159">
        <v>145848.96368860049</v>
      </c>
      <c r="S248" s="159">
        <v>203554.63434976438</v>
      </c>
      <c r="T248" s="159">
        <v>0</v>
      </c>
      <c r="U248" s="309">
        <f t="shared" si="4"/>
        <v>744297.31204436487</v>
      </c>
      <c r="V248" s="44"/>
      <c r="W248" s="44"/>
      <c r="X248" s="110"/>
      <c r="Y248" s="110"/>
      <c r="Z248" s="111"/>
    </row>
    <row r="249" spans="1:26" s="45" customFormat="1">
      <c r="A249" s="127">
        <v>768</v>
      </c>
      <c r="B249" s="124" t="s">
        <v>253</v>
      </c>
      <c r="C249" s="408">
        <v>2368</v>
      </c>
      <c r="D249" s="412">
        <v>1.2305166666666667</v>
      </c>
      <c r="E249" s="420">
        <v>0</v>
      </c>
      <c r="F249" s="155">
        <v>0</v>
      </c>
      <c r="G249" s="419">
        <v>0</v>
      </c>
      <c r="H249" s="269">
        <v>706</v>
      </c>
      <c r="I249" s="15">
        <v>780</v>
      </c>
      <c r="J249" s="331">
        <v>0.90512820512820513</v>
      </c>
      <c r="K249" s="427">
        <v>0.90551008832640811</v>
      </c>
      <c r="L249" s="434">
        <v>0.51177761300000002</v>
      </c>
      <c r="M249" s="14">
        <f>Lisäosat[[#This Row],[HYTE-kerroin (sis. Kulttuurihyte)]]*Lisäosat[[#This Row],[Asukasmäärä 31.12.2023]]</f>
        <v>1211.8893875840001</v>
      </c>
      <c r="N249" s="427">
        <f>Lisäosat[[#This Row],[HYTE-kerroin (sis. Kulttuurihyte)]]/$N$7</f>
        <v>0.75781754730698081</v>
      </c>
      <c r="O249" s="439">
        <v>0</v>
      </c>
      <c r="P249" s="197">
        <v>282047.41425599996</v>
      </c>
      <c r="Q249" s="159">
        <v>0</v>
      </c>
      <c r="R249" s="159">
        <v>28968.788982510185</v>
      </c>
      <c r="S249" s="159">
        <v>35728.732964776544</v>
      </c>
      <c r="T249" s="159">
        <v>0</v>
      </c>
      <c r="U249" s="309">
        <f t="shared" si="4"/>
        <v>346744.93620328663</v>
      </c>
      <c r="V249" s="44"/>
      <c r="W249" s="44"/>
      <c r="X249" s="110"/>
      <c r="Y249" s="110"/>
      <c r="Z249" s="111"/>
    </row>
    <row r="250" spans="1:26" s="45" customFormat="1">
      <c r="A250" s="127">
        <v>777</v>
      </c>
      <c r="B250" s="124" t="s">
        <v>254</v>
      </c>
      <c r="C250" s="408">
        <v>7172</v>
      </c>
      <c r="D250" s="412">
        <v>1.4814499999999999</v>
      </c>
      <c r="E250" s="420">
        <v>0</v>
      </c>
      <c r="F250" s="155">
        <v>0</v>
      </c>
      <c r="G250" s="419">
        <v>0</v>
      </c>
      <c r="H250" s="269">
        <v>2137</v>
      </c>
      <c r="I250" s="15">
        <v>2461</v>
      </c>
      <c r="J250" s="331">
        <v>0.86834620073141</v>
      </c>
      <c r="K250" s="427">
        <v>0.86871256521149576</v>
      </c>
      <c r="L250" s="434">
        <v>0.63394385499999995</v>
      </c>
      <c r="M250" s="14">
        <f>Lisäosat[[#This Row],[HYTE-kerroin (sis. Kulttuurihyte)]]*Lisäosat[[#This Row],[Asukasmäärä 31.12.2023]]</f>
        <v>4546.6453280599999</v>
      </c>
      <c r="N250" s="427">
        <f>Lisäosat[[#This Row],[HYTE-kerroin (sis. Kulttuurihyte)]]/$N$7</f>
        <v>0.93871588972070219</v>
      </c>
      <c r="O250" s="439">
        <v>0</v>
      </c>
      <c r="P250" s="197">
        <v>1028442.9451230001</v>
      </c>
      <c r="Q250" s="159">
        <v>0</v>
      </c>
      <c r="R250" s="159">
        <v>84172.792054084421</v>
      </c>
      <c r="S250" s="159">
        <v>134043.48488904061</v>
      </c>
      <c r="T250" s="159">
        <v>0</v>
      </c>
      <c r="U250" s="309">
        <f t="shared" si="4"/>
        <v>1246659.2220661251</v>
      </c>
      <c r="V250" s="44"/>
      <c r="W250" s="44"/>
      <c r="X250" s="110"/>
      <c r="Y250" s="110"/>
      <c r="Z250" s="111"/>
    </row>
    <row r="251" spans="1:26" s="45" customFormat="1">
      <c r="A251" s="127">
        <v>778</v>
      </c>
      <c r="B251" s="124" t="s">
        <v>255</v>
      </c>
      <c r="C251" s="408">
        <v>6708</v>
      </c>
      <c r="D251" s="412">
        <v>0.39226666666666665</v>
      </c>
      <c r="E251" s="420">
        <v>0</v>
      </c>
      <c r="F251" s="155">
        <v>0</v>
      </c>
      <c r="G251" s="419">
        <v>0</v>
      </c>
      <c r="H251" s="269">
        <v>2360</v>
      </c>
      <c r="I251" s="15">
        <v>2509</v>
      </c>
      <c r="J251" s="331">
        <v>0.94061379035472303</v>
      </c>
      <c r="K251" s="427">
        <v>0.94101064529803313</v>
      </c>
      <c r="L251" s="434">
        <v>0.59653146599999995</v>
      </c>
      <c r="M251" s="14">
        <f>Lisäosat[[#This Row],[HYTE-kerroin (sis. Kulttuurihyte)]]*Lisäosat[[#This Row],[Asukasmäärä 31.12.2023]]</f>
        <v>4001.5330739279998</v>
      </c>
      <c r="N251" s="427">
        <f>Lisäosat[[#This Row],[HYTE-kerroin (sis. Kulttuurihyte)]]/$N$7</f>
        <v>0.88331728659564779</v>
      </c>
      <c r="O251" s="439">
        <v>0</v>
      </c>
      <c r="P251" s="197">
        <v>169799.389344</v>
      </c>
      <c r="Q251" s="159">
        <v>0</v>
      </c>
      <c r="R251" s="159">
        <v>85279.165010985875</v>
      </c>
      <c r="S251" s="159">
        <v>117972.57085740859</v>
      </c>
      <c r="T251" s="159">
        <v>0</v>
      </c>
      <c r="U251" s="309">
        <f t="shared" si="4"/>
        <v>373051.12521239446</v>
      </c>
      <c r="V251" s="44"/>
      <c r="W251" s="44"/>
      <c r="X251" s="110"/>
      <c r="Y251" s="110"/>
      <c r="Z251" s="111"/>
    </row>
    <row r="252" spans="1:26" s="45" customFormat="1">
      <c r="A252" s="127">
        <v>781</v>
      </c>
      <c r="B252" s="124" t="s">
        <v>256</v>
      </c>
      <c r="C252" s="408">
        <v>3496</v>
      </c>
      <c r="D252" s="412">
        <v>1.0842833333333333</v>
      </c>
      <c r="E252" s="420">
        <v>0</v>
      </c>
      <c r="F252" s="155">
        <v>1</v>
      </c>
      <c r="G252" s="419">
        <v>2.8604118993135012E-4</v>
      </c>
      <c r="H252" s="269">
        <v>969</v>
      </c>
      <c r="I252" s="15">
        <v>1120</v>
      </c>
      <c r="J252" s="331">
        <v>0.86517857142857146</v>
      </c>
      <c r="K252" s="427">
        <v>0.86554359945222814</v>
      </c>
      <c r="L252" s="434">
        <v>0.65248902399999997</v>
      </c>
      <c r="M252" s="14">
        <f>Lisäosat[[#This Row],[HYTE-kerroin (sis. Kulttuurihyte)]]*Lisäosat[[#This Row],[Asukasmäärä 31.12.2023]]</f>
        <v>2281.101627904</v>
      </c>
      <c r="N252" s="427">
        <f>Lisäosat[[#This Row],[HYTE-kerroin (sis. Kulttuurihyte)]]/$N$7</f>
        <v>0.96617675187837038</v>
      </c>
      <c r="O252" s="439">
        <v>0</v>
      </c>
      <c r="P252" s="197">
        <v>366916.405554</v>
      </c>
      <c r="Q252" s="159">
        <v>0</v>
      </c>
      <c r="R252" s="159">
        <v>40880.455123984211</v>
      </c>
      <c r="S252" s="159">
        <v>67251.080638124637</v>
      </c>
      <c r="T252" s="159">
        <v>0</v>
      </c>
      <c r="U252" s="309">
        <f t="shared" si="4"/>
        <v>475047.9413161088</v>
      </c>
      <c r="V252" s="44"/>
      <c r="W252" s="44"/>
      <c r="X252" s="110"/>
      <c r="Y252" s="110"/>
      <c r="Z252" s="111"/>
    </row>
    <row r="253" spans="1:26" s="45" customFormat="1">
      <c r="A253" s="127">
        <v>783</v>
      </c>
      <c r="B253" s="124" t="s">
        <v>257</v>
      </c>
      <c r="C253" s="408">
        <v>6377</v>
      </c>
      <c r="D253" s="412">
        <v>0</v>
      </c>
      <c r="E253" s="420">
        <v>0</v>
      </c>
      <c r="F253" s="155">
        <v>0</v>
      </c>
      <c r="G253" s="419">
        <v>0</v>
      </c>
      <c r="H253" s="269">
        <v>3122</v>
      </c>
      <c r="I253" s="15">
        <v>2567</v>
      </c>
      <c r="J253" s="331">
        <v>1.2162056875730425</v>
      </c>
      <c r="K253" s="427">
        <v>1.2167188176633563</v>
      </c>
      <c r="L253" s="434">
        <v>0.57770913700000004</v>
      </c>
      <c r="M253" s="14">
        <f>Lisäosat[[#This Row],[HYTE-kerroin (sis. Kulttuurihyte)]]*Lisäosat[[#This Row],[Asukasmäärä 31.12.2023]]</f>
        <v>3684.0511666490002</v>
      </c>
      <c r="N253" s="427">
        <f>Lisäosat[[#This Row],[HYTE-kerroin (sis. Kulttuurihyte)]]/$N$7</f>
        <v>0.85544601822622623</v>
      </c>
      <c r="O253" s="439">
        <v>0</v>
      </c>
      <c r="P253" s="197">
        <v>0</v>
      </c>
      <c r="Q253" s="159">
        <v>0</v>
      </c>
      <c r="R253" s="159">
        <v>104824.3048122319</v>
      </c>
      <c r="S253" s="159">
        <v>108612.61903133232</v>
      </c>
      <c r="T253" s="159">
        <v>0</v>
      </c>
      <c r="U253" s="309">
        <f t="shared" si="4"/>
        <v>213436.92384356423</v>
      </c>
      <c r="V253" s="44"/>
      <c r="W253" s="44"/>
      <c r="X253" s="110"/>
      <c r="Y253" s="110"/>
      <c r="Z253" s="111"/>
    </row>
    <row r="254" spans="1:26" s="104" customFormat="1">
      <c r="A254" s="124">
        <v>785</v>
      </c>
      <c r="B254" s="124" t="s">
        <v>258</v>
      </c>
      <c r="C254" s="408">
        <v>2589</v>
      </c>
      <c r="D254" s="412">
        <v>1.7081500000000001</v>
      </c>
      <c r="E254" s="420">
        <v>0</v>
      </c>
      <c r="F254" s="155">
        <v>0</v>
      </c>
      <c r="G254" s="419">
        <v>0</v>
      </c>
      <c r="H254" s="269">
        <v>825</v>
      </c>
      <c r="I254" s="15">
        <v>846</v>
      </c>
      <c r="J254" s="331">
        <v>0.97517730496453903</v>
      </c>
      <c r="K254" s="427">
        <v>0.97558874262157469</v>
      </c>
      <c r="L254" s="434">
        <v>0.51210292599999996</v>
      </c>
      <c r="M254" s="14">
        <f>Lisäosat[[#This Row],[HYTE-kerroin (sis. Kulttuurihyte)]]*Lisäosat[[#This Row],[Asukasmäärä 31.12.2023]]</f>
        <v>1325.8344754139998</v>
      </c>
      <c r="N254" s="427">
        <f>Lisäosat[[#This Row],[HYTE-kerroin (sis. Kulttuurihyte)]]/$N$7</f>
        <v>0.75829925634134421</v>
      </c>
      <c r="O254" s="438">
        <v>0</v>
      </c>
      <c r="P254" s="197">
        <v>856132.48375649995</v>
      </c>
      <c r="Q254" s="159">
        <v>0</v>
      </c>
      <c r="R254" s="159">
        <v>34123.54793028444</v>
      </c>
      <c r="S254" s="159">
        <v>39088.044183634702</v>
      </c>
      <c r="T254" s="159">
        <v>0</v>
      </c>
      <c r="U254" s="309">
        <f t="shared" si="4"/>
        <v>929344.07587041904</v>
      </c>
      <c r="V254" s="59"/>
      <c r="W254" s="59"/>
      <c r="X254" s="109"/>
      <c r="Y254" s="110"/>
      <c r="Z254" s="111"/>
    </row>
    <row r="255" spans="1:26" s="45" customFormat="1">
      <c r="A255" s="127">
        <v>790</v>
      </c>
      <c r="B255" s="124" t="s">
        <v>259</v>
      </c>
      <c r="C255" s="408">
        <v>23515</v>
      </c>
      <c r="D255" s="412">
        <v>0</v>
      </c>
      <c r="E255" s="420">
        <v>0</v>
      </c>
      <c r="F255" s="155">
        <v>0</v>
      </c>
      <c r="G255" s="419">
        <v>0</v>
      </c>
      <c r="H255" s="269">
        <v>8151</v>
      </c>
      <c r="I255" s="15">
        <v>9300</v>
      </c>
      <c r="J255" s="331">
        <v>0.87645161290322582</v>
      </c>
      <c r="K255" s="427">
        <v>0.87682139714275054</v>
      </c>
      <c r="L255" s="434">
        <v>0.68604658699999999</v>
      </c>
      <c r="M255" s="14">
        <f>Lisäosat[[#This Row],[HYTE-kerroin (sis. Kulttuurihyte)]]*Lisäosat[[#This Row],[Asukasmäärä 31.12.2023]]</f>
        <v>16132.385493304999</v>
      </c>
      <c r="N255" s="427">
        <f>Lisäosat[[#This Row],[HYTE-kerroin (sis. Kulttuurihyte)]]/$N$7</f>
        <v>1.0158672999607452</v>
      </c>
      <c r="O255" s="439">
        <v>0</v>
      </c>
      <c r="P255" s="197">
        <v>0</v>
      </c>
      <c r="Q255" s="159">
        <v>0</v>
      </c>
      <c r="R255" s="159">
        <v>278555.3291279971</v>
      </c>
      <c r="S255" s="159">
        <v>475612.46041126654</v>
      </c>
      <c r="T255" s="159">
        <v>0</v>
      </c>
      <c r="U255" s="309">
        <f t="shared" si="4"/>
        <v>754167.78953926358</v>
      </c>
      <c r="V255" s="44"/>
      <c r="W255" s="44"/>
      <c r="X255" s="110"/>
      <c r="Y255" s="110"/>
      <c r="Z255" s="111"/>
    </row>
    <row r="256" spans="1:26" s="45" customFormat="1">
      <c r="A256" s="127">
        <v>791</v>
      </c>
      <c r="B256" s="124" t="s">
        <v>260</v>
      </c>
      <c r="C256" s="408">
        <v>4931</v>
      </c>
      <c r="D256" s="412">
        <v>1.4546666666666668</v>
      </c>
      <c r="E256" s="420">
        <v>0</v>
      </c>
      <c r="F256" s="155">
        <v>0</v>
      </c>
      <c r="G256" s="419">
        <v>0</v>
      </c>
      <c r="H256" s="269">
        <v>1770</v>
      </c>
      <c r="I256" s="15">
        <v>1885</v>
      </c>
      <c r="J256" s="331">
        <v>0.93899204244031831</v>
      </c>
      <c r="K256" s="427">
        <v>0.93938821315096754</v>
      </c>
      <c r="L256" s="434">
        <v>0.52251585700000003</v>
      </c>
      <c r="M256" s="14">
        <f>Lisäosat[[#This Row],[HYTE-kerroin (sis. Kulttuurihyte)]]*Lisäosat[[#This Row],[Asukasmäärä 31.12.2023]]</f>
        <v>2576.5256908670003</v>
      </c>
      <c r="N256" s="427">
        <f>Lisäosat[[#This Row],[HYTE-kerroin (sis. Kulttuurihyte)]]/$N$7</f>
        <v>0.77371826184344084</v>
      </c>
      <c r="O256" s="439">
        <v>0</v>
      </c>
      <c r="P256" s="197">
        <v>694306.79226000002</v>
      </c>
      <c r="Q256" s="159">
        <v>0</v>
      </c>
      <c r="R256" s="159">
        <v>62579.985499930648</v>
      </c>
      <c r="S256" s="159">
        <v>75960.726555576635</v>
      </c>
      <c r="T256" s="159">
        <v>0</v>
      </c>
      <c r="U256" s="309">
        <f t="shared" si="4"/>
        <v>832847.50431550737</v>
      </c>
      <c r="V256" s="44"/>
      <c r="W256" s="44"/>
      <c r="X256" s="110"/>
      <c r="Y256" s="110"/>
      <c r="Z256" s="111"/>
    </row>
    <row r="257" spans="1:26" s="45" customFormat="1">
      <c r="A257" s="127">
        <v>831</v>
      </c>
      <c r="B257" s="124" t="s">
        <v>261</v>
      </c>
      <c r="C257" s="408">
        <v>4625</v>
      </c>
      <c r="D257" s="412">
        <v>0</v>
      </c>
      <c r="E257" s="420">
        <v>0</v>
      </c>
      <c r="F257" s="155">
        <v>0</v>
      </c>
      <c r="G257" s="419">
        <v>0</v>
      </c>
      <c r="H257" s="269">
        <v>782</v>
      </c>
      <c r="I257" s="15">
        <v>1855</v>
      </c>
      <c r="J257" s="331">
        <v>0.42156334231805931</v>
      </c>
      <c r="K257" s="427">
        <v>0.42174120436732199</v>
      </c>
      <c r="L257" s="434">
        <v>0.59675753899999995</v>
      </c>
      <c r="M257" s="14">
        <f>Lisäosat[[#This Row],[HYTE-kerroin (sis. Kulttuurihyte)]]*Lisäosat[[#This Row],[Asukasmäärä 31.12.2023]]</f>
        <v>2760.0036178749997</v>
      </c>
      <c r="N257" s="427">
        <f>Lisäosat[[#This Row],[HYTE-kerroin (sis. Kulttuurihyte)]]/$N$7</f>
        <v>0.88365204544797049</v>
      </c>
      <c r="O257" s="439">
        <v>0</v>
      </c>
      <c r="P257" s="197">
        <v>0</v>
      </c>
      <c r="Q257" s="159">
        <v>0</v>
      </c>
      <c r="R257" s="159">
        <v>26351.971978386653</v>
      </c>
      <c r="S257" s="159">
        <v>81369.994040019548</v>
      </c>
      <c r="T257" s="159">
        <v>0</v>
      </c>
      <c r="U257" s="309">
        <f t="shared" si="4"/>
        <v>107721.96601840621</v>
      </c>
      <c r="V257" s="44"/>
      <c r="W257" s="44"/>
      <c r="X257" s="110"/>
      <c r="Y257" s="110"/>
      <c r="Z257" s="111"/>
    </row>
    <row r="258" spans="1:26" s="45" customFormat="1">
      <c r="A258" s="127">
        <v>832</v>
      </c>
      <c r="B258" s="124" t="s">
        <v>262</v>
      </c>
      <c r="C258" s="408">
        <v>3731</v>
      </c>
      <c r="D258" s="412">
        <v>1.7243499999999998</v>
      </c>
      <c r="E258" s="420">
        <v>0</v>
      </c>
      <c r="F258" s="155">
        <v>0</v>
      </c>
      <c r="G258" s="419">
        <v>0</v>
      </c>
      <c r="H258" s="269">
        <v>1241</v>
      </c>
      <c r="I258" s="15">
        <v>1353</v>
      </c>
      <c r="J258" s="331">
        <v>0.91722099039172211</v>
      </c>
      <c r="K258" s="427">
        <v>0.91760797566439967</v>
      </c>
      <c r="L258" s="434">
        <v>0.55828656799999998</v>
      </c>
      <c r="M258" s="14">
        <f>Lisäosat[[#This Row],[HYTE-kerroin (sis. Kulttuurihyte)]]*Lisäosat[[#This Row],[Asukasmäärä 31.12.2023]]</f>
        <v>2082.967185208</v>
      </c>
      <c r="N258" s="427">
        <f>Lisäosat[[#This Row],[HYTE-kerroin (sis. Kulttuurihyte)]]/$N$7</f>
        <v>0.82668594113785887</v>
      </c>
      <c r="O258" s="439">
        <v>0</v>
      </c>
      <c r="P258" s="197">
        <v>1245470.9154614999</v>
      </c>
      <c r="Q258" s="159">
        <v>0</v>
      </c>
      <c r="R258" s="159">
        <v>46252.773275824351</v>
      </c>
      <c r="S258" s="159">
        <v>61409.712055532349</v>
      </c>
      <c r="T258" s="159">
        <v>0</v>
      </c>
      <c r="U258" s="309">
        <f t="shared" si="4"/>
        <v>1353133.4007928565</v>
      </c>
      <c r="V258" s="44"/>
      <c r="W258" s="44"/>
      <c r="X258" s="110"/>
      <c r="Y258" s="110"/>
      <c r="Z258" s="111"/>
    </row>
    <row r="259" spans="1:26" s="45" customFormat="1">
      <c r="A259" s="127">
        <v>833</v>
      </c>
      <c r="B259" s="124" t="s">
        <v>263</v>
      </c>
      <c r="C259" s="408">
        <v>1705</v>
      </c>
      <c r="D259" s="412">
        <v>0.48993333333333333</v>
      </c>
      <c r="E259" s="420">
        <v>0</v>
      </c>
      <c r="F259" s="155">
        <v>0</v>
      </c>
      <c r="G259" s="419">
        <v>0</v>
      </c>
      <c r="H259" s="269">
        <v>478</v>
      </c>
      <c r="I259" s="15">
        <v>646</v>
      </c>
      <c r="J259" s="331">
        <v>0.73993808049535603</v>
      </c>
      <c r="K259" s="427">
        <v>0.74025026822638773</v>
      </c>
      <c r="L259" s="434">
        <v>0.40994544900000002</v>
      </c>
      <c r="M259" s="14">
        <f>Lisäosat[[#This Row],[HYTE-kerroin (sis. Kulttuurihyte)]]*Lisäosat[[#This Row],[Asukasmäärä 31.12.2023]]</f>
        <v>698.95699054500005</v>
      </c>
      <c r="N259" s="427">
        <f>Lisäosat[[#This Row],[HYTE-kerroin (sis. Kulttuurihyte)]]/$N$7</f>
        <v>0.60702900400381321</v>
      </c>
      <c r="O259" s="439">
        <v>0.91590917562349716</v>
      </c>
      <c r="P259" s="197">
        <v>53904.25359</v>
      </c>
      <c r="Q259" s="159">
        <v>0</v>
      </c>
      <c r="R259" s="159">
        <v>17051.331815974139</v>
      </c>
      <c r="S259" s="159">
        <v>20606.540435865645</v>
      </c>
      <c r="T259" s="159">
        <v>16490.761525265945</v>
      </c>
      <c r="U259" s="309">
        <f t="shared" si="4"/>
        <v>108052.88736710574</v>
      </c>
      <c r="V259" s="44"/>
      <c r="W259" s="44"/>
      <c r="X259" s="110"/>
      <c r="Y259" s="110"/>
      <c r="Z259" s="111"/>
    </row>
    <row r="260" spans="1:26" s="45" customFormat="1">
      <c r="A260" s="127">
        <v>834</v>
      </c>
      <c r="B260" s="124" t="s">
        <v>264</v>
      </c>
      <c r="C260" s="408">
        <v>5844</v>
      </c>
      <c r="D260" s="412">
        <v>0</v>
      </c>
      <c r="E260" s="420">
        <v>0</v>
      </c>
      <c r="F260" s="155">
        <v>0</v>
      </c>
      <c r="G260" s="419">
        <v>0</v>
      </c>
      <c r="H260" s="269">
        <v>1714</v>
      </c>
      <c r="I260" s="15">
        <v>2488</v>
      </c>
      <c r="J260" s="331">
        <v>0.68890675241157562</v>
      </c>
      <c r="K260" s="427">
        <v>0.68919740948356167</v>
      </c>
      <c r="L260" s="434">
        <v>0.56935206000000005</v>
      </c>
      <c r="M260" s="14">
        <f>Lisäosat[[#This Row],[HYTE-kerroin (sis. Kulttuurihyte)]]*Lisäosat[[#This Row],[Asukasmäärä 31.12.2023]]</f>
        <v>3327.2934386400002</v>
      </c>
      <c r="N260" s="427">
        <f>Lisäosat[[#This Row],[HYTE-kerroin (sis. Kulttuurihyte)]]/$N$7</f>
        <v>0.84307122997069617</v>
      </c>
      <c r="O260" s="439">
        <v>0</v>
      </c>
      <c r="P260" s="197">
        <v>0</v>
      </c>
      <c r="Q260" s="159">
        <v>0</v>
      </c>
      <c r="R260" s="159">
        <v>54413.817120406333</v>
      </c>
      <c r="S260" s="159">
        <v>98094.743614859573</v>
      </c>
      <c r="T260" s="159">
        <v>0</v>
      </c>
      <c r="U260" s="309">
        <f t="shared" si="4"/>
        <v>152508.5607352659</v>
      </c>
      <c r="V260" s="44"/>
      <c r="W260" s="44"/>
      <c r="X260" s="110"/>
      <c r="Y260" s="110"/>
      <c r="Z260" s="111"/>
    </row>
    <row r="261" spans="1:26" s="45" customFormat="1">
      <c r="A261" s="127">
        <v>837</v>
      </c>
      <c r="B261" s="124" t="s">
        <v>265</v>
      </c>
      <c r="C261" s="408">
        <v>255050</v>
      </c>
      <c r="D261" s="412">
        <v>0</v>
      </c>
      <c r="E261" s="420">
        <v>0</v>
      </c>
      <c r="F261" s="155">
        <v>17</v>
      </c>
      <c r="G261" s="419">
        <v>6.6653597333856112E-5</v>
      </c>
      <c r="H261" s="269">
        <v>136760</v>
      </c>
      <c r="I261" s="15">
        <v>115260</v>
      </c>
      <c r="J261" s="331">
        <v>1.1865347909075135</v>
      </c>
      <c r="K261" s="427">
        <v>1.1870354025315504</v>
      </c>
      <c r="L261" s="434">
        <v>0.75769355199999999</v>
      </c>
      <c r="M261" s="14">
        <f>Lisäosat[[#This Row],[HYTE-kerroin (sis. Kulttuurihyte)]]*Lisäosat[[#This Row],[Asukasmäärä 31.12.2023]]</f>
        <v>193249.7404376</v>
      </c>
      <c r="N261" s="427">
        <f>Lisäosat[[#This Row],[HYTE-kerroin (sis. Kulttuurihyte)]]/$N$7</f>
        <v>1.1219589419339338</v>
      </c>
      <c r="O261" s="439">
        <v>1.906420424877971</v>
      </c>
      <c r="P261" s="197">
        <v>0</v>
      </c>
      <c r="Q261" s="159">
        <v>0</v>
      </c>
      <c r="R261" s="159">
        <v>4090198.1559057278</v>
      </c>
      <c r="S261" s="159">
        <v>5697358.5562723735</v>
      </c>
      <c r="T261" s="159">
        <v>5134615.510095736</v>
      </c>
      <c r="U261" s="309">
        <f t="shared" si="4"/>
        <v>14922172.222273838</v>
      </c>
      <c r="V261" s="44"/>
      <c r="W261" s="44"/>
      <c r="X261" s="110"/>
      <c r="Y261" s="110"/>
      <c r="Z261" s="111"/>
    </row>
    <row r="262" spans="1:26" s="45" customFormat="1">
      <c r="A262" s="127">
        <v>844</v>
      </c>
      <c r="B262" s="124" t="s">
        <v>266</v>
      </c>
      <c r="C262" s="408">
        <v>1412</v>
      </c>
      <c r="D262" s="412">
        <v>1.4789666666666665</v>
      </c>
      <c r="E262" s="420">
        <v>0</v>
      </c>
      <c r="F262" s="155">
        <v>0</v>
      </c>
      <c r="G262" s="419">
        <v>0</v>
      </c>
      <c r="H262" s="269">
        <v>347</v>
      </c>
      <c r="I262" s="15">
        <v>488</v>
      </c>
      <c r="J262" s="331">
        <v>0.71106557377049184</v>
      </c>
      <c r="K262" s="427">
        <v>0.71136557988443794</v>
      </c>
      <c r="L262" s="434">
        <v>0.52186290700000004</v>
      </c>
      <c r="M262" s="14">
        <f>Lisäosat[[#This Row],[HYTE-kerroin (sis. Kulttuurihyte)]]*Lisäosat[[#This Row],[Asukasmäärä 31.12.2023]]</f>
        <v>736.87042468400011</v>
      </c>
      <c r="N262" s="427">
        <f>Lisäosat[[#This Row],[HYTE-kerroin (sis. Kulttuurihyte)]]/$N$7</f>
        <v>0.77275140249878616</v>
      </c>
      <c r="O262" s="439">
        <v>0</v>
      </c>
      <c r="P262" s="197">
        <v>202137.08884199994</v>
      </c>
      <c r="Q262" s="159">
        <v>0</v>
      </c>
      <c r="R262" s="159">
        <v>13570.095165745124</v>
      </c>
      <c r="S262" s="159">
        <v>21724.298358336175</v>
      </c>
      <c r="T262" s="159">
        <v>0</v>
      </c>
      <c r="U262" s="309">
        <f t="shared" si="4"/>
        <v>237431.48236608124</v>
      </c>
      <c r="V262" s="44"/>
      <c r="W262" s="44"/>
      <c r="X262" s="110"/>
      <c r="Y262" s="110"/>
      <c r="Z262" s="111"/>
    </row>
    <row r="263" spans="1:26" s="45" customFormat="1">
      <c r="A263" s="127">
        <v>845</v>
      </c>
      <c r="B263" s="124" t="s">
        <v>267</v>
      </c>
      <c r="C263" s="408">
        <v>2831</v>
      </c>
      <c r="D263" s="412">
        <v>1.3779666666666666</v>
      </c>
      <c r="E263" s="420">
        <v>0</v>
      </c>
      <c r="F263" s="155">
        <v>1</v>
      </c>
      <c r="G263" s="419">
        <v>3.5323207347227127E-4</v>
      </c>
      <c r="H263" s="269">
        <v>1005</v>
      </c>
      <c r="I263" s="15">
        <v>1079</v>
      </c>
      <c r="J263" s="331">
        <v>0.93141797961075068</v>
      </c>
      <c r="K263" s="427">
        <v>0.93181095474388909</v>
      </c>
      <c r="L263" s="434">
        <v>0.475365702</v>
      </c>
      <c r="M263" s="14">
        <f>Lisäosat[[#This Row],[HYTE-kerroin (sis. Kulttuurihyte)]]*Lisäosat[[#This Row],[Asukasmäärä 31.12.2023]]</f>
        <v>1345.7603023619999</v>
      </c>
      <c r="N263" s="427">
        <f>Lisäosat[[#This Row],[HYTE-kerroin (sis. Kulttuurihyte)]]/$N$7</f>
        <v>0.70390040754576955</v>
      </c>
      <c r="O263" s="439">
        <v>0</v>
      </c>
      <c r="P263" s="197">
        <v>377599.58258849999</v>
      </c>
      <c r="Q263" s="159">
        <v>0</v>
      </c>
      <c r="R263" s="159">
        <v>35638.796542008124</v>
      </c>
      <c r="S263" s="159">
        <v>39675.494290402887</v>
      </c>
      <c r="T263" s="159">
        <v>0</v>
      </c>
      <c r="U263" s="309">
        <f t="shared" si="4"/>
        <v>452913.87342091103</v>
      </c>
      <c r="V263" s="44"/>
      <c r="W263" s="44"/>
      <c r="X263" s="110"/>
      <c r="Y263" s="110"/>
      <c r="Z263" s="111"/>
    </row>
    <row r="264" spans="1:26" s="45" customFormat="1">
      <c r="A264" s="127">
        <v>846</v>
      </c>
      <c r="B264" s="124" t="s">
        <v>268</v>
      </c>
      <c r="C264" s="408">
        <v>4758</v>
      </c>
      <c r="D264" s="412">
        <v>0.17711666666666667</v>
      </c>
      <c r="E264" s="420">
        <v>0</v>
      </c>
      <c r="F264" s="155">
        <v>0</v>
      </c>
      <c r="G264" s="419">
        <v>0</v>
      </c>
      <c r="H264" s="269">
        <v>1531</v>
      </c>
      <c r="I264" s="15">
        <v>1755</v>
      </c>
      <c r="J264" s="331">
        <v>0.87236467236467241</v>
      </c>
      <c r="K264" s="427">
        <v>0.87273273228059867</v>
      </c>
      <c r="L264" s="434">
        <v>0.68398648900000003</v>
      </c>
      <c r="M264" s="14">
        <f>Lisäosat[[#This Row],[HYTE-kerroin (sis. Kulttuurihyte)]]*Lisäosat[[#This Row],[Asukasmäärä 31.12.2023]]</f>
        <v>3254.4077146620002</v>
      </c>
      <c r="N264" s="427">
        <f>Lisäosat[[#This Row],[HYTE-kerroin (sis. Kulttuurihyte)]]/$N$7</f>
        <v>1.0128167983875707</v>
      </c>
      <c r="O264" s="439">
        <v>0</v>
      </c>
      <c r="P264" s="197">
        <v>54380.792583000002</v>
      </c>
      <c r="Q264" s="159">
        <v>0</v>
      </c>
      <c r="R264" s="159">
        <v>56099.766215981603</v>
      </c>
      <c r="S264" s="159">
        <v>95945.938125155692</v>
      </c>
      <c r="T264" s="159">
        <v>0</v>
      </c>
      <c r="U264" s="309">
        <f t="shared" si="4"/>
        <v>206426.49692413729</v>
      </c>
      <c r="V264" s="44"/>
      <c r="W264" s="44"/>
      <c r="X264" s="110"/>
      <c r="Y264" s="110"/>
      <c r="Z264" s="111"/>
    </row>
    <row r="265" spans="1:26" s="45" customFormat="1">
      <c r="A265" s="127">
        <v>848</v>
      </c>
      <c r="B265" s="124" t="s">
        <v>269</v>
      </c>
      <c r="C265" s="408">
        <v>4066</v>
      </c>
      <c r="D265" s="412">
        <v>0.92721666666666658</v>
      </c>
      <c r="E265" s="420">
        <v>0</v>
      </c>
      <c r="F265" s="155">
        <v>1</v>
      </c>
      <c r="G265" s="419">
        <v>2.4594195769798326E-4</v>
      </c>
      <c r="H265" s="269">
        <v>1213</v>
      </c>
      <c r="I265" s="15">
        <v>1435</v>
      </c>
      <c r="J265" s="331">
        <v>0.84529616724738676</v>
      </c>
      <c r="K265" s="427">
        <v>0.84565280667365617</v>
      </c>
      <c r="L265" s="434">
        <v>0.50919448899999997</v>
      </c>
      <c r="M265" s="14">
        <f>Lisäosat[[#This Row],[HYTE-kerroin (sis. Kulttuurihyte)]]*Lisäosat[[#This Row],[Asukasmäärä 31.12.2023]]</f>
        <v>2070.3847922739997</v>
      </c>
      <c r="N265" s="427">
        <f>Lisäosat[[#This Row],[HYTE-kerroin (sis. Kulttuurihyte)]]/$N$7</f>
        <v>0.75399257207487769</v>
      </c>
      <c r="O265" s="439">
        <v>0</v>
      </c>
      <c r="P265" s="197">
        <v>243282.16323899999</v>
      </c>
      <c r="Q265" s="159">
        <v>0</v>
      </c>
      <c r="R265" s="159">
        <v>46453.112454243012</v>
      </c>
      <c r="S265" s="159">
        <v>61038.759919303971</v>
      </c>
      <c r="T265" s="159">
        <v>0</v>
      </c>
      <c r="U265" s="309">
        <f t="shared" ref="U265:U300" si="5">SUM(P265:T265)</f>
        <v>350774.03561254701</v>
      </c>
      <c r="V265" s="44"/>
      <c r="W265" s="44"/>
      <c r="X265" s="110"/>
      <c r="Y265" s="110"/>
      <c r="Z265" s="111"/>
    </row>
    <row r="266" spans="1:26" s="45" customFormat="1">
      <c r="A266" s="127">
        <v>849</v>
      </c>
      <c r="B266" s="124" t="s">
        <v>270</v>
      </c>
      <c r="C266" s="408">
        <v>2849</v>
      </c>
      <c r="D266" s="412">
        <v>0.86536666666666673</v>
      </c>
      <c r="E266" s="420">
        <v>0</v>
      </c>
      <c r="F266" s="155">
        <v>0</v>
      </c>
      <c r="G266" s="419">
        <v>0</v>
      </c>
      <c r="H266" s="269">
        <v>981</v>
      </c>
      <c r="I266" s="15">
        <v>1086</v>
      </c>
      <c r="J266" s="331">
        <v>0.90331491712707179</v>
      </c>
      <c r="K266" s="427">
        <v>0.90369603527981801</v>
      </c>
      <c r="L266" s="434">
        <v>0.55996321500000001</v>
      </c>
      <c r="M266" s="14">
        <f>Lisäosat[[#This Row],[HYTE-kerroin (sis. Kulttuurihyte)]]*Lisäosat[[#This Row],[Asukasmäärä 31.12.2023]]</f>
        <v>1595.3351995350001</v>
      </c>
      <c r="N266" s="427">
        <f>Lisäosat[[#This Row],[HYTE-kerroin (sis. Kulttuurihyte)]]/$N$7</f>
        <v>0.82916864550976666</v>
      </c>
      <c r="O266" s="439">
        <v>0</v>
      </c>
      <c r="P266" s="197">
        <v>159094.17423900001</v>
      </c>
      <c r="Q266" s="159">
        <v>0</v>
      </c>
      <c r="R266" s="159">
        <v>34783.251360959846</v>
      </c>
      <c r="S266" s="159">
        <v>47033.422288751346</v>
      </c>
      <c r="T266" s="159">
        <v>0</v>
      </c>
      <c r="U266" s="309">
        <f t="shared" si="5"/>
        <v>240910.8478887112</v>
      </c>
      <c r="V266" s="44"/>
      <c r="W266" s="44"/>
      <c r="X266" s="110"/>
      <c r="Y266" s="110"/>
      <c r="Z266" s="111"/>
    </row>
    <row r="267" spans="1:26" s="45" customFormat="1">
      <c r="A267" s="127">
        <v>850</v>
      </c>
      <c r="B267" s="124" t="s">
        <v>271</v>
      </c>
      <c r="C267" s="408">
        <v>2368</v>
      </c>
      <c r="D267" s="412">
        <v>0.21193333333333333</v>
      </c>
      <c r="E267" s="420">
        <v>0</v>
      </c>
      <c r="F267" s="155">
        <v>0</v>
      </c>
      <c r="G267" s="419">
        <v>0</v>
      </c>
      <c r="H267" s="269">
        <v>573</v>
      </c>
      <c r="I267" s="15">
        <v>930</v>
      </c>
      <c r="J267" s="331">
        <v>0.61612903225806448</v>
      </c>
      <c r="K267" s="427">
        <v>0.61638898363734018</v>
      </c>
      <c r="L267" s="434">
        <v>0.42374601899999997</v>
      </c>
      <c r="M267" s="14">
        <f>Lisäosat[[#This Row],[HYTE-kerroin (sis. Kulttuurihyte)]]*Lisäosat[[#This Row],[Asukasmäärä 31.12.2023]]</f>
        <v>1003.430572992</v>
      </c>
      <c r="N267" s="427">
        <f>Lisäosat[[#This Row],[HYTE-kerroin (sis. Kulttuurihyte)]]/$N$7</f>
        <v>0.6274642747995256</v>
      </c>
      <c r="O267" s="439">
        <v>0</v>
      </c>
      <c r="P267" s="197">
        <v>32384.905344000003</v>
      </c>
      <c r="Q267" s="159">
        <v>0</v>
      </c>
      <c r="R267" s="159">
        <v>19719.319120051023</v>
      </c>
      <c r="S267" s="159">
        <v>29582.98286826026</v>
      </c>
      <c r="T267" s="159">
        <v>0</v>
      </c>
      <c r="U267" s="309">
        <f t="shared" si="5"/>
        <v>81687.207332311285</v>
      </c>
      <c r="V267" s="44"/>
      <c r="W267" s="44"/>
      <c r="X267" s="110"/>
      <c r="Y267" s="110"/>
      <c r="Z267" s="111"/>
    </row>
    <row r="268" spans="1:26" s="45" customFormat="1">
      <c r="A268" s="127">
        <v>851</v>
      </c>
      <c r="B268" s="124" t="s">
        <v>272</v>
      </c>
      <c r="C268" s="408">
        <v>21018</v>
      </c>
      <c r="D268" s="412">
        <v>0.14405000000000001</v>
      </c>
      <c r="E268" s="420">
        <v>0</v>
      </c>
      <c r="F268" s="155">
        <v>12</v>
      </c>
      <c r="G268" s="419">
        <v>5.7093919497573512E-4</v>
      </c>
      <c r="H268" s="269">
        <v>8853</v>
      </c>
      <c r="I268" s="15">
        <v>8661</v>
      </c>
      <c r="J268" s="331">
        <v>1.0221683408382405</v>
      </c>
      <c r="K268" s="427">
        <v>1.0225996045121484</v>
      </c>
      <c r="L268" s="434">
        <v>0.54720856600000001</v>
      </c>
      <c r="M268" s="14">
        <f>Lisäosat[[#This Row],[HYTE-kerroin (sis. Kulttuurihyte)]]*Lisäosat[[#This Row],[Asukasmäärä 31.12.2023]]</f>
        <v>11501.229640187999</v>
      </c>
      <c r="N268" s="427">
        <f>Lisäosat[[#This Row],[HYTE-kerroin (sis. Kulttuurihyte)]]/$N$7</f>
        <v>0.81028212805293243</v>
      </c>
      <c r="O268" s="439">
        <v>0</v>
      </c>
      <c r="P268" s="197">
        <v>195373.79633700004</v>
      </c>
      <c r="Q268" s="159">
        <v>0</v>
      </c>
      <c r="R268" s="159">
        <v>290370.40956796688</v>
      </c>
      <c r="S268" s="159">
        <v>339077.4494692632</v>
      </c>
      <c r="T268" s="159">
        <v>0</v>
      </c>
      <c r="U268" s="309">
        <f t="shared" si="5"/>
        <v>824821.65537423012</v>
      </c>
      <c r="V268" s="44"/>
      <c r="W268" s="44"/>
      <c r="X268" s="110"/>
      <c r="Y268" s="110"/>
      <c r="Z268" s="111"/>
    </row>
    <row r="269" spans="1:26" s="45" customFormat="1">
      <c r="A269" s="127">
        <v>853</v>
      </c>
      <c r="B269" s="124" t="s">
        <v>273</v>
      </c>
      <c r="C269" s="408">
        <v>201863</v>
      </c>
      <c r="D269" s="412">
        <v>0</v>
      </c>
      <c r="E269" s="420">
        <v>0</v>
      </c>
      <c r="F269" s="155">
        <v>12</v>
      </c>
      <c r="G269" s="419">
        <v>5.9446258105744988E-5</v>
      </c>
      <c r="H269" s="269">
        <v>107904</v>
      </c>
      <c r="I269" s="15">
        <v>88595</v>
      </c>
      <c r="J269" s="331">
        <v>1.217946836728935</v>
      </c>
      <c r="K269" s="427">
        <v>1.2184607014285611</v>
      </c>
      <c r="L269" s="434">
        <v>0.68591351300000003</v>
      </c>
      <c r="M269" s="14">
        <f>Lisäosat[[#This Row],[HYTE-kerroin (sis. Kulttuurihyte)]]*Lisäosat[[#This Row],[Asukasmäärä 31.12.2023]]</f>
        <v>138460.55947471902</v>
      </c>
      <c r="N269" s="427">
        <f>Lisäosat[[#This Row],[HYTE-kerroin (sis. Kulttuurihyte)]]/$N$7</f>
        <v>1.0156702498949965</v>
      </c>
      <c r="O269" s="439">
        <v>1.2674058159450219</v>
      </c>
      <c r="P269" s="197">
        <v>0</v>
      </c>
      <c r="Q269" s="159">
        <v>0</v>
      </c>
      <c r="R269" s="159">
        <v>3322948.411054119</v>
      </c>
      <c r="S269" s="159">
        <v>4082072.5111621642</v>
      </c>
      <c r="T269" s="159">
        <v>2701695.1127666011</v>
      </c>
      <c r="U269" s="309">
        <f t="shared" si="5"/>
        <v>10106716.034982884</v>
      </c>
      <c r="V269" s="44"/>
      <c r="W269" s="44"/>
      <c r="X269" s="110"/>
      <c r="Y269" s="110"/>
      <c r="Z269" s="111"/>
    </row>
    <row r="270" spans="1:26" s="45" customFormat="1">
      <c r="A270" s="127">
        <v>854</v>
      </c>
      <c r="B270" s="124" t="s">
        <v>274</v>
      </c>
      <c r="C270" s="408">
        <v>3253</v>
      </c>
      <c r="D270" s="412">
        <v>1.7608999999999999</v>
      </c>
      <c r="E270" s="420">
        <v>0</v>
      </c>
      <c r="F270" s="155">
        <v>1</v>
      </c>
      <c r="G270" s="419">
        <v>3.074085459575776E-4</v>
      </c>
      <c r="H270" s="269">
        <v>1078</v>
      </c>
      <c r="I270" s="15">
        <v>1084</v>
      </c>
      <c r="J270" s="331">
        <v>0.99446494464944646</v>
      </c>
      <c r="K270" s="427">
        <v>0.99488451996641469</v>
      </c>
      <c r="L270" s="434">
        <v>0.46858428099999999</v>
      </c>
      <c r="M270" s="14">
        <f>Lisäosat[[#This Row],[HYTE-kerroin (sis. Kulttuurihyte)]]*Lisäosat[[#This Row],[Asukasmäärä 31.12.2023]]</f>
        <v>1524.3046660929999</v>
      </c>
      <c r="N270" s="427">
        <f>Lisäosat[[#This Row],[HYTE-kerroin (sis. Kulttuurihyte)]]/$N$7</f>
        <v>0.69385878067711615</v>
      </c>
      <c r="O270" s="439">
        <v>0</v>
      </c>
      <c r="P270" s="197">
        <v>1108923.7286429999</v>
      </c>
      <c r="Q270" s="159">
        <v>0</v>
      </c>
      <c r="R270" s="159">
        <v>43723.214730019594</v>
      </c>
      <c r="S270" s="159">
        <v>44939.311235634334</v>
      </c>
      <c r="T270" s="159">
        <v>0</v>
      </c>
      <c r="U270" s="309">
        <f t="shared" si="5"/>
        <v>1197586.254608654</v>
      </c>
      <c r="V270" s="44"/>
      <c r="W270" s="44"/>
      <c r="X270" s="110"/>
      <c r="Y270" s="110"/>
      <c r="Z270" s="111"/>
    </row>
    <row r="271" spans="1:26" s="45" customFormat="1">
      <c r="A271" s="127">
        <v>857</v>
      </c>
      <c r="B271" s="124" t="s">
        <v>275</v>
      </c>
      <c r="C271" s="408">
        <v>2313</v>
      </c>
      <c r="D271" s="412">
        <v>1.1848333333333332</v>
      </c>
      <c r="E271" s="420">
        <v>0</v>
      </c>
      <c r="F271" s="155">
        <v>1</v>
      </c>
      <c r="G271" s="419">
        <v>4.3233895373973193E-4</v>
      </c>
      <c r="H271" s="269">
        <v>621</v>
      </c>
      <c r="I271" s="15">
        <v>765</v>
      </c>
      <c r="J271" s="331">
        <v>0.81176470588235294</v>
      </c>
      <c r="K271" s="427">
        <v>0.81210719802911657</v>
      </c>
      <c r="L271" s="434">
        <v>0.603223277</v>
      </c>
      <c r="M271" s="14">
        <f>Lisäosat[[#This Row],[HYTE-kerroin (sis. Kulttuurihyte)]]*Lisäosat[[#This Row],[Asukasmäärä 31.12.2023]]</f>
        <v>1395.2554397010001</v>
      </c>
      <c r="N271" s="427">
        <f>Lisäosat[[#This Row],[HYTE-kerroin (sis. Kulttuurihyte)]]/$N$7</f>
        <v>0.8932262229583291</v>
      </c>
      <c r="O271" s="439">
        <v>0</v>
      </c>
      <c r="P271" s="197">
        <v>265268.58500249992</v>
      </c>
      <c r="Q271" s="159">
        <v>0</v>
      </c>
      <c r="R271" s="159">
        <v>25377.237351548592</v>
      </c>
      <c r="S271" s="159">
        <v>41134.702171219062</v>
      </c>
      <c r="T271" s="159">
        <v>0</v>
      </c>
      <c r="U271" s="309">
        <f t="shared" si="5"/>
        <v>331780.52452526754</v>
      </c>
      <c r="V271" s="44"/>
      <c r="W271" s="44"/>
      <c r="X271" s="110"/>
      <c r="Y271" s="110"/>
      <c r="Z271" s="111"/>
    </row>
    <row r="272" spans="1:26" s="45" customFormat="1">
      <c r="A272" s="127">
        <v>858</v>
      </c>
      <c r="B272" s="124" t="s">
        <v>276</v>
      </c>
      <c r="C272" s="408">
        <v>41338</v>
      </c>
      <c r="D272" s="412">
        <v>0</v>
      </c>
      <c r="E272" s="420">
        <v>0</v>
      </c>
      <c r="F272" s="155">
        <v>1</v>
      </c>
      <c r="G272" s="419">
        <v>2.4190817165803862E-5</v>
      </c>
      <c r="H272" s="269">
        <v>14123</v>
      </c>
      <c r="I272" s="15">
        <v>19634</v>
      </c>
      <c r="J272" s="331">
        <v>0.71931343587654073</v>
      </c>
      <c r="K272" s="427">
        <v>0.71961692185106518</v>
      </c>
      <c r="L272" s="434">
        <v>0.72145382999999996</v>
      </c>
      <c r="M272" s="14">
        <f>Lisäosat[[#This Row],[HYTE-kerroin (sis. Kulttuurihyte)]]*Lisäosat[[#This Row],[Asukasmäärä 31.12.2023]]</f>
        <v>29823.45842454</v>
      </c>
      <c r="N272" s="427">
        <f>Lisäosat[[#This Row],[HYTE-kerroin (sis. Kulttuurihyte)]]/$N$7</f>
        <v>1.0682967719923055</v>
      </c>
      <c r="O272" s="439">
        <v>2.1499978061783795</v>
      </c>
      <c r="P272" s="197">
        <v>0</v>
      </c>
      <c r="Q272" s="159">
        <v>0</v>
      </c>
      <c r="R272" s="159">
        <v>401889.05350212578</v>
      </c>
      <c r="S272" s="159">
        <v>879250.52653590287</v>
      </c>
      <c r="T272" s="159">
        <v>938536.99433262751</v>
      </c>
      <c r="U272" s="309">
        <f t="shared" si="5"/>
        <v>2219676.5743706562</v>
      </c>
      <c r="V272" s="44"/>
      <c r="W272" s="44"/>
      <c r="X272" s="110"/>
      <c r="Y272" s="110"/>
      <c r="Z272" s="111"/>
    </row>
    <row r="273" spans="1:26" s="45" customFormat="1">
      <c r="A273" s="127">
        <v>859</v>
      </c>
      <c r="B273" s="124" t="s">
        <v>277</v>
      </c>
      <c r="C273" s="408">
        <v>6525</v>
      </c>
      <c r="D273" s="412">
        <v>0</v>
      </c>
      <c r="E273" s="420">
        <v>0</v>
      </c>
      <c r="F273" s="155">
        <v>1</v>
      </c>
      <c r="G273" s="419">
        <v>1.5325670498084291E-4</v>
      </c>
      <c r="H273" s="269">
        <v>1420</v>
      </c>
      <c r="I273" s="15">
        <v>2611</v>
      </c>
      <c r="J273" s="331">
        <v>0.54385292991191114</v>
      </c>
      <c r="K273" s="427">
        <v>0.54408238723635438</v>
      </c>
      <c r="L273" s="434">
        <v>0.59977618700000002</v>
      </c>
      <c r="M273" s="14">
        <f>Lisäosat[[#This Row],[HYTE-kerroin (sis. Kulttuurihyte)]]*Lisäosat[[#This Row],[Asukasmäärä 31.12.2023]]</f>
        <v>3913.539620175</v>
      </c>
      <c r="N273" s="427">
        <f>Lisäosat[[#This Row],[HYTE-kerroin (sis. Kulttuurihyte)]]/$N$7</f>
        <v>0.88812192526575606</v>
      </c>
      <c r="O273" s="439">
        <v>0</v>
      </c>
      <c r="P273" s="197">
        <v>0</v>
      </c>
      <c r="Q273" s="159">
        <v>0</v>
      </c>
      <c r="R273" s="159">
        <v>47962.358661449536</v>
      </c>
      <c r="S273" s="159">
        <v>115378.36164656885</v>
      </c>
      <c r="T273" s="159">
        <v>0</v>
      </c>
      <c r="U273" s="309">
        <f t="shared" si="5"/>
        <v>163340.72030801838</v>
      </c>
      <c r="V273" s="44"/>
      <c r="W273" s="44"/>
      <c r="X273" s="110"/>
      <c r="Y273" s="110"/>
      <c r="Z273" s="111"/>
    </row>
    <row r="274" spans="1:26" s="45" customFormat="1">
      <c r="A274" s="127">
        <v>886</v>
      </c>
      <c r="B274" s="124" t="s">
        <v>278</v>
      </c>
      <c r="C274" s="408">
        <v>12533</v>
      </c>
      <c r="D274" s="412">
        <v>0</v>
      </c>
      <c r="E274" s="420">
        <v>0</v>
      </c>
      <c r="F274" s="155">
        <v>1</v>
      </c>
      <c r="G274" s="419">
        <v>7.9789356099896279E-5</v>
      </c>
      <c r="H274" s="269">
        <v>3868</v>
      </c>
      <c r="I274" s="15">
        <v>5262</v>
      </c>
      <c r="J274" s="331">
        <v>0.73508171797795518</v>
      </c>
      <c r="K274" s="427">
        <v>0.73539185675808771</v>
      </c>
      <c r="L274" s="434">
        <v>0.64822036500000002</v>
      </c>
      <c r="M274" s="14">
        <f>Lisäosat[[#This Row],[HYTE-kerroin (sis. Kulttuurihyte)]]*Lisäosat[[#This Row],[Asukasmäärä 31.12.2023]]</f>
        <v>8124.1458345450001</v>
      </c>
      <c r="N274" s="427">
        <f>Lisäosat[[#This Row],[HYTE-kerroin (sis. Kulttuurihyte)]]/$N$7</f>
        <v>0.95985591131891856</v>
      </c>
      <c r="O274" s="439">
        <v>0</v>
      </c>
      <c r="P274" s="197">
        <v>0</v>
      </c>
      <c r="Q274" s="159">
        <v>0</v>
      </c>
      <c r="R274" s="159">
        <v>124517.15956152053</v>
      </c>
      <c r="S274" s="159">
        <v>239514.79405890976</v>
      </c>
      <c r="T274" s="159">
        <v>0</v>
      </c>
      <c r="U274" s="309">
        <f t="shared" si="5"/>
        <v>364031.95362043031</v>
      </c>
      <c r="V274" s="44"/>
      <c r="W274" s="44"/>
      <c r="X274" s="110"/>
      <c r="Y274" s="110"/>
      <c r="Z274" s="111"/>
    </row>
    <row r="275" spans="1:26" s="45" customFormat="1">
      <c r="A275" s="127">
        <v>887</v>
      </c>
      <c r="B275" s="124" t="s">
        <v>279</v>
      </c>
      <c r="C275" s="408">
        <v>4568</v>
      </c>
      <c r="D275" s="412">
        <v>0</v>
      </c>
      <c r="E275" s="420">
        <v>0</v>
      </c>
      <c r="F275" s="155">
        <v>0</v>
      </c>
      <c r="G275" s="419">
        <v>0</v>
      </c>
      <c r="H275" s="269">
        <v>1341</v>
      </c>
      <c r="I275" s="15">
        <v>1711</v>
      </c>
      <c r="J275" s="331">
        <v>0.78375219170075983</v>
      </c>
      <c r="K275" s="427">
        <v>0.78408286507042124</v>
      </c>
      <c r="L275" s="434">
        <v>0.60027102300000001</v>
      </c>
      <c r="M275" s="14">
        <f>Lisäosat[[#This Row],[HYTE-kerroin (sis. Kulttuurihyte)]]*Lisäosat[[#This Row],[Asukasmäärä 31.12.2023]]</f>
        <v>2742.038033064</v>
      </c>
      <c r="N275" s="427">
        <f>Lisäosat[[#This Row],[HYTE-kerroin (sis. Kulttuurihyte)]]/$N$7</f>
        <v>0.88885465642537242</v>
      </c>
      <c r="O275" s="439">
        <v>0</v>
      </c>
      <c r="P275" s="197">
        <v>0</v>
      </c>
      <c r="Q275" s="159">
        <v>0</v>
      </c>
      <c r="R275" s="159">
        <v>48388.639028439153</v>
      </c>
      <c r="S275" s="159">
        <v>80840.335484672425</v>
      </c>
      <c r="T275" s="159">
        <v>0</v>
      </c>
      <c r="U275" s="309">
        <f t="shared" si="5"/>
        <v>129228.97451311158</v>
      </c>
      <c r="V275" s="44"/>
      <c r="W275" s="44"/>
      <c r="X275" s="110"/>
      <c r="Y275" s="110"/>
      <c r="Z275" s="111"/>
    </row>
    <row r="276" spans="1:26" s="45" customFormat="1">
      <c r="A276" s="127">
        <v>889</v>
      </c>
      <c r="B276" s="124" t="s">
        <v>280</v>
      </c>
      <c r="C276" s="408">
        <v>2491</v>
      </c>
      <c r="D276" s="412">
        <v>1.3616333333333333</v>
      </c>
      <c r="E276" s="420">
        <v>0</v>
      </c>
      <c r="F276" s="155">
        <v>0</v>
      </c>
      <c r="G276" s="419">
        <v>0</v>
      </c>
      <c r="H276" s="269">
        <v>754</v>
      </c>
      <c r="I276" s="15">
        <v>889</v>
      </c>
      <c r="J276" s="331">
        <v>0.84814398200224972</v>
      </c>
      <c r="K276" s="427">
        <v>0.84850182295179544</v>
      </c>
      <c r="L276" s="434">
        <v>0.626263919</v>
      </c>
      <c r="M276" s="14">
        <f>Lisäosat[[#This Row],[HYTE-kerroin (sis. Kulttuurihyte)]]*Lisäosat[[#This Row],[Asukasmäärä 31.12.2023]]</f>
        <v>1560.0234222290001</v>
      </c>
      <c r="N276" s="427">
        <f>Lisäosat[[#This Row],[HYTE-kerroin (sis. Kulttuurihyte)]]/$N$7</f>
        <v>0.92734378176764376</v>
      </c>
      <c r="O276" s="439">
        <v>0</v>
      </c>
      <c r="P276" s="197">
        <v>328312.05256350001</v>
      </c>
      <c r="Q276" s="159">
        <v>0</v>
      </c>
      <c r="R276" s="159">
        <v>28554.97973354418</v>
      </c>
      <c r="S276" s="159">
        <v>45992.366005229524</v>
      </c>
      <c r="T276" s="159">
        <v>0</v>
      </c>
      <c r="U276" s="309">
        <f t="shared" si="5"/>
        <v>402859.39830227371</v>
      </c>
      <c r="V276" s="44"/>
      <c r="W276" s="44"/>
      <c r="X276" s="110"/>
      <c r="Y276" s="110"/>
      <c r="Z276" s="111"/>
    </row>
    <row r="277" spans="1:26" s="45" customFormat="1">
      <c r="A277" s="127">
        <v>890</v>
      </c>
      <c r="B277" s="124" t="s">
        <v>281</v>
      </c>
      <c r="C277" s="408">
        <v>1139</v>
      </c>
      <c r="D277" s="412">
        <v>1.9536666666666667</v>
      </c>
      <c r="E277" s="420">
        <v>1</v>
      </c>
      <c r="F277" s="155">
        <v>473</v>
      </c>
      <c r="G277" s="419">
        <v>0.41527655838454786</v>
      </c>
      <c r="H277" s="269">
        <v>454</v>
      </c>
      <c r="I277" s="15">
        <v>477</v>
      </c>
      <c r="J277" s="331">
        <v>0.95178197064989523</v>
      </c>
      <c r="K277" s="427">
        <v>0.95218353756702856</v>
      </c>
      <c r="L277" s="434">
        <v>0.46018123100000002</v>
      </c>
      <c r="M277" s="14">
        <f>Lisäosat[[#This Row],[HYTE-kerroin (sis. Kulttuurihyte)]]*Lisäosat[[#This Row],[Asukasmäärä 31.12.2023]]</f>
        <v>524.14642210900001</v>
      </c>
      <c r="N277" s="427">
        <f>Lisäosat[[#This Row],[HYTE-kerroin (sis. Kulttuurihyte)]]/$N$7</f>
        <v>0.68141591764610299</v>
      </c>
      <c r="O277" s="439">
        <v>0</v>
      </c>
      <c r="P277" s="197">
        <v>430781.56587000005</v>
      </c>
      <c r="Q277" s="159">
        <v>446275.5</v>
      </c>
      <c r="R277" s="159">
        <v>14652.095535892304</v>
      </c>
      <c r="S277" s="159">
        <v>15452.802658260323</v>
      </c>
      <c r="T277" s="159">
        <v>0</v>
      </c>
      <c r="U277" s="309">
        <f t="shared" si="5"/>
        <v>907161.96406415268</v>
      </c>
      <c r="V277" s="44"/>
      <c r="W277" s="44"/>
      <c r="X277" s="110"/>
      <c r="Y277" s="110"/>
      <c r="Z277" s="111"/>
    </row>
    <row r="278" spans="1:26" s="45" customFormat="1">
      <c r="A278" s="127">
        <v>892</v>
      </c>
      <c r="B278" s="124" t="s">
        <v>282</v>
      </c>
      <c r="C278" s="408">
        <v>3615</v>
      </c>
      <c r="D278" s="412">
        <v>0</v>
      </c>
      <c r="E278" s="420">
        <v>0</v>
      </c>
      <c r="F278" s="155">
        <v>0</v>
      </c>
      <c r="G278" s="419">
        <v>0</v>
      </c>
      <c r="H278" s="269">
        <v>792</v>
      </c>
      <c r="I278" s="15">
        <v>1389</v>
      </c>
      <c r="J278" s="331">
        <v>0.57019438444924408</v>
      </c>
      <c r="K278" s="427">
        <v>0.5704349555129864</v>
      </c>
      <c r="L278" s="434">
        <v>0.73237699000000001</v>
      </c>
      <c r="M278" s="14">
        <f>Lisäosat[[#This Row],[HYTE-kerroin (sis. Kulttuurihyte)]]*Lisäosat[[#This Row],[Asukasmäärä 31.12.2023]]</f>
        <v>2647.54281885</v>
      </c>
      <c r="N278" s="427">
        <f>Lisäosat[[#This Row],[HYTE-kerroin (sis. Kulttuurihyte)]]/$N$7</f>
        <v>1.084471301924395</v>
      </c>
      <c r="O278" s="439">
        <v>0</v>
      </c>
      <c r="P278" s="197">
        <v>0</v>
      </c>
      <c r="Q278" s="159">
        <v>0</v>
      </c>
      <c r="R278" s="159">
        <v>27859.273140064313</v>
      </c>
      <c r="S278" s="159">
        <v>78054.442391052653</v>
      </c>
      <c r="T278" s="159">
        <v>0</v>
      </c>
      <c r="U278" s="309">
        <f t="shared" si="5"/>
        <v>105913.71553111696</v>
      </c>
      <c r="V278" s="44"/>
      <c r="W278" s="44"/>
      <c r="X278" s="110"/>
      <c r="Y278" s="110"/>
      <c r="Z278" s="111"/>
    </row>
    <row r="279" spans="1:26" s="45" customFormat="1">
      <c r="A279" s="127">
        <v>893</v>
      </c>
      <c r="B279" s="124" t="s">
        <v>283</v>
      </c>
      <c r="C279" s="408">
        <v>7500</v>
      </c>
      <c r="D279" s="412">
        <v>1.1783333333333333E-2</v>
      </c>
      <c r="E279" s="420">
        <v>0</v>
      </c>
      <c r="F279" s="155">
        <v>0</v>
      </c>
      <c r="G279" s="419">
        <v>0</v>
      </c>
      <c r="H279" s="269">
        <v>3155</v>
      </c>
      <c r="I279" s="15">
        <v>3218</v>
      </c>
      <c r="J279" s="331">
        <v>0.98042262274704783</v>
      </c>
      <c r="K279" s="427">
        <v>0.98083627345933799</v>
      </c>
      <c r="L279" s="434">
        <v>0.56969928999999997</v>
      </c>
      <c r="M279" s="14">
        <f>Lisäosat[[#This Row],[HYTE-kerroin (sis. Kulttuurihyte)]]*Lisäosat[[#This Row],[Asukasmäärä 31.12.2023]]</f>
        <v>4272.7446749999999</v>
      </c>
      <c r="N279" s="427">
        <f>Lisäosat[[#This Row],[HYTE-kerroin (sis. Kulttuurihyte)]]/$N$7</f>
        <v>0.84358539272472688</v>
      </c>
      <c r="O279" s="439">
        <v>9.6050168216343934E-2</v>
      </c>
      <c r="P279" s="197">
        <v>5702.8387499999999</v>
      </c>
      <c r="Q279" s="159">
        <v>0</v>
      </c>
      <c r="R279" s="159">
        <v>99383.235408267414</v>
      </c>
      <c r="S279" s="159">
        <v>125968.38876861984</v>
      </c>
      <c r="T279" s="159">
        <v>7607.1733227344394</v>
      </c>
      <c r="U279" s="309">
        <f t="shared" si="5"/>
        <v>238661.63624962172</v>
      </c>
      <c r="V279" s="44"/>
      <c r="W279" s="44"/>
      <c r="X279" s="110"/>
      <c r="Y279" s="110"/>
      <c r="Z279" s="111"/>
    </row>
    <row r="280" spans="1:26" s="45" customFormat="1">
      <c r="A280" s="127">
        <v>895</v>
      </c>
      <c r="B280" s="124" t="s">
        <v>284</v>
      </c>
      <c r="C280" s="408">
        <v>14938</v>
      </c>
      <c r="D280" s="412">
        <v>0</v>
      </c>
      <c r="E280" s="420">
        <v>0</v>
      </c>
      <c r="F280" s="155">
        <v>1</v>
      </c>
      <c r="G280" s="419">
        <v>6.6943365912438071E-5</v>
      </c>
      <c r="H280" s="269">
        <v>7571</v>
      </c>
      <c r="I280" s="15">
        <v>6211</v>
      </c>
      <c r="J280" s="331">
        <v>1.2189663500241508</v>
      </c>
      <c r="K280" s="427">
        <v>1.2194806448672588</v>
      </c>
      <c r="L280" s="434">
        <v>0.65294156000000003</v>
      </c>
      <c r="M280" s="14">
        <f>Lisäosat[[#This Row],[HYTE-kerroin (sis. Kulttuurihyte)]]*Lisäosat[[#This Row],[Asukasmäärä 31.12.2023]]</f>
        <v>9753.6410232800008</v>
      </c>
      <c r="N280" s="427">
        <f>Lisäosat[[#This Row],[HYTE-kerroin (sis. Kulttuurihyte)]]/$N$7</f>
        <v>0.96684684707768531</v>
      </c>
      <c r="O280" s="439">
        <v>0</v>
      </c>
      <c r="P280" s="197">
        <v>0</v>
      </c>
      <c r="Q280" s="159">
        <v>0</v>
      </c>
      <c r="R280" s="159">
        <v>246106.29130459629</v>
      </c>
      <c r="S280" s="159">
        <v>287555.31579478108</v>
      </c>
      <c r="T280" s="159">
        <v>0</v>
      </c>
      <c r="U280" s="309">
        <f t="shared" si="5"/>
        <v>533661.60709937732</v>
      </c>
      <c r="V280" s="44"/>
      <c r="W280" s="44"/>
      <c r="X280" s="110"/>
      <c r="Y280" s="110"/>
      <c r="Z280" s="111"/>
    </row>
    <row r="281" spans="1:26" s="45" customFormat="1">
      <c r="A281" s="127">
        <v>905</v>
      </c>
      <c r="B281" s="124" t="s">
        <v>285</v>
      </c>
      <c r="C281" s="408">
        <v>68956</v>
      </c>
      <c r="D281" s="412">
        <v>0</v>
      </c>
      <c r="E281" s="420">
        <v>0</v>
      </c>
      <c r="F281" s="155">
        <v>6</v>
      </c>
      <c r="G281" s="419">
        <v>8.701200765705667E-5</v>
      </c>
      <c r="H281" s="269">
        <v>38781</v>
      </c>
      <c r="I281" s="15">
        <v>31082</v>
      </c>
      <c r="J281" s="331">
        <v>1.2476996332282351</v>
      </c>
      <c r="K281" s="427">
        <v>1.2482260509485474</v>
      </c>
      <c r="L281" s="434">
        <v>0.77699986300000001</v>
      </c>
      <c r="M281" s="14">
        <f>Lisäosat[[#This Row],[HYTE-kerroin (sis. Kulttuurihyte)]]*Lisäosat[[#This Row],[Asukasmäärä 31.12.2023]]</f>
        <v>53578.802553027999</v>
      </c>
      <c r="N281" s="427">
        <f>Lisäosat[[#This Row],[HYTE-kerroin (sis. Kulttuurihyte)]]/$N$7</f>
        <v>1.1505468693420946</v>
      </c>
      <c r="O281" s="439">
        <v>0.6900588793311716</v>
      </c>
      <c r="P281" s="197">
        <v>0</v>
      </c>
      <c r="Q281" s="159">
        <v>0</v>
      </c>
      <c r="R281" s="159">
        <v>1162841.8469400005</v>
      </c>
      <c r="S281" s="159">
        <v>1579601.8585540575</v>
      </c>
      <c r="T281" s="159">
        <v>502483.87287817249</v>
      </c>
      <c r="U281" s="309">
        <f t="shared" si="5"/>
        <v>3244927.5783722308</v>
      </c>
      <c r="V281" s="44"/>
      <c r="W281" s="44"/>
      <c r="X281" s="110"/>
      <c r="Y281" s="110"/>
      <c r="Z281" s="111"/>
    </row>
    <row r="282" spans="1:26" s="45" customFormat="1">
      <c r="A282" s="127">
        <v>908</v>
      </c>
      <c r="B282" s="124" t="s">
        <v>286</v>
      </c>
      <c r="C282" s="408">
        <v>20694</v>
      </c>
      <c r="D282" s="412">
        <v>0</v>
      </c>
      <c r="E282" s="420">
        <v>0</v>
      </c>
      <c r="F282" s="155">
        <v>1</v>
      </c>
      <c r="G282" s="419">
        <v>4.8323185464385811E-5</v>
      </c>
      <c r="H282" s="269">
        <v>6693</v>
      </c>
      <c r="I282" s="15">
        <v>8284</v>
      </c>
      <c r="J282" s="331">
        <v>0.80794302269435059</v>
      </c>
      <c r="K282" s="427">
        <v>0.80828390243240789</v>
      </c>
      <c r="L282" s="434">
        <v>0.66884147999999999</v>
      </c>
      <c r="M282" s="14">
        <f>Lisäosat[[#This Row],[HYTE-kerroin (sis. Kulttuurihyte)]]*Lisäosat[[#This Row],[Asukasmäärä 31.12.2023]]</f>
        <v>13841.00558712</v>
      </c>
      <c r="N282" s="427">
        <f>Lisäosat[[#This Row],[HYTE-kerroin (sis. Kulttuurihyte)]]/$N$7</f>
        <v>0.99039074206391864</v>
      </c>
      <c r="O282" s="439">
        <v>0</v>
      </c>
      <c r="P282" s="197">
        <v>0</v>
      </c>
      <c r="Q282" s="159">
        <v>0</v>
      </c>
      <c r="R282" s="159">
        <v>225976.73180940872</v>
      </c>
      <c r="S282" s="159">
        <v>408058.35718395031</v>
      </c>
      <c r="T282" s="159">
        <v>0</v>
      </c>
      <c r="U282" s="309">
        <f t="shared" si="5"/>
        <v>634035.08899335901</v>
      </c>
      <c r="V282" s="44"/>
      <c r="W282" s="44"/>
      <c r="X282" s="110"/>
      <c r="Y282" s="110"/>
      <c r="Z282" s="111"/>
    </row>
    <row r="283" spans="1:26" s="45" customFormat="1">
      <c r="A283" s="127">
        <v>915</v>
      </c>
      <c r="B283" s="124" t="s">
        <v>287</v>
      </c>
      <c r="C283" s="408">
        <v>19727</v>
      </c>
      <c r="D283" s="412">
        <v>7.091666666666667E-2</v>
      </c>
      <c r="E283" s="420">
        <v>0</v>
      </c>
      <c r="F283" s="155">
        <v>0</v>
      </c>
      <c r="G283" s="419">
        <v>0</v>
      </c>
      <c r="H283" s="269">
        <v>8035</v>
      </c>
      <c r="I283" s="15">
        <v>7168</v>
      </c>
      <c r="J283" s="331">
        <v>1.1209542410714286</v>
      </c>
      <c r="K283" s="427">
        <v>1.1214271835653142</v>
      </c>
      <c r="L283" s="434">
        <v>0.73642420500000005</v>
      </c>
      <c r="M283" s="14">
        <f>Lisäosat[[#This Row],[HYTE-kerroin (sis. Kulttuurihyte)]]*Lisäosat[[#This Row],[Asukasmäärä 31.12.2023]]</f>
        <v>14527.440292035</v>
      </c>
      <c r="N283" s="427">
        <f>Lisäosat[[#This Row],[HYTE-kerroin (sis. Kulttuurihyte)]]/$N$7</f>
        <v>1.0904642380490239</v>
      </c>
      <c r="O283" s="439">
        <v>0</v>
      </c>
      <c r="P283" s="197">
        <v>90275.733067499998</v>
      </c>
      <c r="Q283" s="159">
        <v>0</v>
      </c>
      <c r="R283" s="159">
        <v>298873.54361810681</v>
      </c>
      <c r="S283" s="159">
        <v>428295.71755770256</v>
      </c>
      <c r="T283" s="159">
        <v>0</v>
      </c>
      <c r="U283" s="309">
        <f t="shared" si="5"/>
        <v>817444.99424330937</v>
      </c>
      <c r="V283" s="44"/>
      <c r="W283" s="44"/>
      <c r="X283" s="110"/>
      <c r="Y283" s="110"/>
      <c r="Z283" s="111"/>
    </row>
    <row r="284" spans="1:26" s="45" customFormat="1">
      <c r="A284" s="127">
        <v>918</v>
      </c>
      <c r="B284" s="124" t="s">
        <v>288</v>
      </c>
      <c r="C284" s="408">
        <v>2245</v>
      </c>
      <c r="D284" s="412">
        <v>0</v>
      </c>
      <c r="E284" s="420">
        <v>0</v>
      </c>
      <c r="F284" s="155">
        <v>0</v>
      </c>
      <c r="G284" s="419">
        <v>0</v>
      </c>
      <c r="H284" s="269">
        <v>661</v>
      </c>
      <c r="I284" s="15">
        <v>925</v>
      </c>
      <c r="J284" s="331">
        <v>0.71459459459459462</v>
      </c>
      <c r="K284" s="427">
        <v>0.71489608963988904</v>
      </c>
      <c r="L284" s="434">
        <v>0.47086938699999997</v>
      </c>
      <c r="M284" s="14">
        <f>Lisäosat[[#This Row],[HYTE-kerroin (sis. Kulttuurihyte)]]*Lisäosat[[#This Row],[Asukasmäärä 31.12.2023]]</f>
        <v>1057.1017738149999</v>
      </c>
      <c r="N284" s="427">
        <f>Lisäosat[[#This Row],[HYTE-kerroin (sis. Kulttuurihyte)]]/$N$7</f>
        <v>0.69724246409793911</v>
      </c>
      <c r="O284" s="439">
        <v>0</v>
      </c>
      <c r="P284" s="197">
        <v>0</v>
      </c>
      <c r="Q284" s="159">
        <v>0</v>
      </c>
      <c r="R284" s="159">
        <v>21682.76265397335</v>
      </c>
      <c r="S284" s="159">
        <v>31165.308798126476</v>
      </c>
      <c r="T284" s="159">
        <v>0</v>
      </c>
      <c r="U284" s="309">
        <f t="shared" si="5"/>
        <v>52848.07145209983</v>
      </c>
      <c r="V284" s="44"/>
      <c r="W284" s="44"/>
      <c r="X284" s="110"/>
      <c r="Y284" s="110"/>
      <c r="Z284" s="111"/>
    </row>
    <row r="285" spans="1:26" s="45" customFormat="1">
      <c r="A285" s="127">
        <v>921</v>
      </c>
      <c r="B285" s="124" t="s">
        <v>289</v>
      </c>
      <c r="C285" s="408">
        <v>1895</v>
      </c>
      <c r="D285" s="412">
        <v>1.6164666666666667</v>
      </c>
      <c r="E285" s="420">
        <v>0</v>
      </c>
      <c r="F285" s="155">
        <v>0</v>
      </c>
      <c r="G285" s="419">
        <v>0</v>
      </c>
      <c r="H285" s="269">
        <v>504</v>
      </c>
      <c r="I285" s="15">
        <v>620</v>
      </c>
      <c r="J285" s="331">
        <v>0.81290322580645158</v>
      </c>
      <c r="K285" s="427">
        <v>0.81324619830685729</v>
      </c>
      <c r="L285" s="434">
        <v>0.66177161299999998</v>
      </c>
      <c r="M285" s="14">
        <f>Lisäosat[[#This Row],[HYTE-kerroin (sis. Kulttuurihyte)]]*Lisäosat[[#This Row],[Asukasmäärä 31.12.2023]]</f>
        <v>1254.0572066350001</v>
      </c>
      <c r="N285" s="427">
        <f>Lisäosat[[#This Row],[HYTE-kerroin (sis. Kulttuurihyte)]]/$N$7</f>
        <v>0.97992199717623141</v>
      </c>
      <c r="O285" s="439">
        <v>0</v>
      </c>
      <c r="P285" s="197">
        <v>593005.72689000005</v>
      </c>
      <c r="Q285" s="159">
        <v>0</v>
      </c>
      <c r="R285" s="159">
        <v>20820.281883643092</v>
      </c>
      <c r="S285" s="159">
        <v>36971.917996360768</v>
      </c>
      <c r="T285" s="159">
        <v>0</v>
      </c>
      <c r="U285" s="309">
        <f t="shared" si="5"/>
        <v>650797.92677000398</v>
      </c>
      <c r="V285" s="44"/>
      <c r="W285" s="44"/>
      <c r="X285" s="110"/>
      <c r="Y285" s="110"/>
      <c r="Z285" s="111"/>
    </row>
    <row r="286" spans="1:26" s="45" customFormat="1">
      <c r="A286" s="127">
        <v>922</v>
      </c>
      <c r="B286" s="124" t="s">
        <v>290</v>
      </c>
      <c r="C286" s="408">
        <v>4469</v>
      </c>
      <c r="D286" s="412">
        <v>0</v>
      </c>
      <c r="E286" s="420">
        <v>0</v>
      </c>
      <c r="F286" s="155">
        <v>0</v>
      </c>
      <c r="G286" s="419">
        <v>0</v>
      </c>
      <c r="H286" s="269">
        <v>925</v>
      </c>
      <c r="I286" s="15">
        <v>2101</v>
      </c>
      <c r="J286" s="331">
        <v>0.44026653974297952</v>
      </c>
      <c r="K286" s="427">
        <v>0.44045229286978105</v>
      </c>
      <c r="L286" s="434">
        <v>0.79267282699999997</v>
      </c>
      <c r="M286" s="14">
        <f>Lisäosat[[#This Row],[HYTE-kerroin (sis. Kulttuurihyte)]]*Lisäosat[[#This Row],[Asukasmäärä 31.12.2023]]</f>
        <v>3542.4548638629999</v>
      </c>
      <c r="N286" s="427">
        <f>Lisäosat[[#This Row],[HYTE-kerroin (sis. Kulttuurihyte)]]/$N$7</f>
        <v>1.1737546979688434</v>
      </c>
      <c r="O286" s="439">
        <v>0.7782997742193154</v>
      </c>
      <c r="P286" s="197">
        <v>0</v>
      </c>
      <c r="Q286" s="159">
        <v>0</v>
      </c>
      <c r="R286" s="159">
        <v>26592.831320241545</v>
      </c>
      <c r="S286" s="159">
        <v>104438.09902738518</v>
      </c>
      <c r="T286" s="159">
        <v>36730.021056813435</v>
      </c>
      <c r="U286" s="309">
        <f t="shared" si="5"/>
        <v>167760.95140444016</v>
      </c>
      <c r="V286" s="44"/>
      <c r="W286" s="44"/>
      <c r="X286" s="110"/>
      <c r="Y286" s="110"/>
      <c r="Z286" s="111"/>
    </row>
    <row r="287" spans="1:26" s="45" customFormat="1">
      <c r="A287" s="127">
        <v>924</v>
      </c>
      <c r="B287" s="124" t="s">
        <v>291</v>
      </c>
      <c r="C287" s="408">
        <v>2936</v>
      </c>
      <c r="D287" s="412">
        <v>0.99025000000000007</v>
      </c>
      <c r="E287" s="420">
        <v>0</v>
      </c>
      <c r="F287" s="155">
        <v>0</v>
      </c>
      <c r="G287" s="419">
        <v>0</v>
      </c>
      <c r="H287" s="269">
        <v>993</v>
      </c>
      <c r="I287" s="15">
        <v>1155</v>
      </c>
      <c r="J287" s="331">
        <v>0.85974025974025969</v>
      </c>
      <c r="K287" s="427">
        <v>0.8601029932824843</v>
      </c>
      <c r="L287" s="434">
        <v>0.63035286199999996</v>
      </c>
      <c r="M287" s="14">
        <f>Lisäosat[[#This Row],[HYTE-kerroin (sis. Kulttuurihyte)]]*Lisäosat[[#This Row],[Asukasmäärä 31.12.2023]]</f>
        <v>1850.716002832</v>
      </c>
      <c r="N287" s="427">
        <f>Lisäosat[[#This Row],[HYTE-kerroin (sis. Kulttuurihyte)]]/$N$7</f>
        <v>0.93339850686039227</v>
      </c>
      <c r="O287" s="439">
        <v>0</v>
      </c>
      <c r="P287" s="197">
        <v>187612.84422000003</v>
      </c>
      <c r="Q287" s="159">
        <v>0</v>
      </c>
      <c r="R287" s="159">
        <v>34116.294865627315</v>
      </c>
      <c r="S287" s="159">
        <v>54562.519101389444</v>
      </c>
      <c r="T287" s="159">
        <v>0</v>
      </c>
      <c r="U287" s="309">
        <f t="shared" si="5"/>
        <v>276291.65818701679</v>
      </c>
      <c r="V287" s="44"/>
      <c r="W287" s="44"/>
      <c r="X287" s="110"/>
      <c r="Y287" s="110"/>
      <c r="Z287" s="111"/>
    </row>
    <row r="288" spans="1:26" s="45" customFormat="1">
      <c r="A288" s="127">
        <v>925</v>
      </c>
      <c r="B288" s="124" t="s">
        <v>292</v>
      </c>
      <c r="C288" s="408">
        <v>3387</v>
      </c>
      <c r="D288" s="412">
        <v>0.83401666666666663</v>
      </c>
      <c r="E288" s="420">
        <v>0</v>
      </c>
      <c r="F288" s="155">
        <v>0</v>
      </c>
      <c r="G288" s="419">
        <v>0</v>
      </c>
      <c r="H288" s="269">
        <v>2018</v>
      </c>
      <c r="I288" s="15">
        <v>1482</v>
      </c>
      <c r="J288" s="331">
        <v>1.3616734143049933</v>
      </c>
      <c r="K288" s="427">
        <v>1.3622479187734395</v>
      </c>
      <c r="L288" s="434">
        <v>0.60074450999999995</v>
      </c>
      <c r="M288" s="14">
        <f>Lisäosat[[#This Row],[HYTE-kerroin (sis. Kulttuurihyte)]]*Lisäosat[[#This Row],[Asukasmäärä 31.12.2023]]</f>
        <v>2034.7216553699998</v>
      </c>
      <c r="N288" s="427">
        <f>Lisäosat[[#This Row],[HYTE-kerroin (sis. Kulttuurihyte)]]/$N$7</f>
        <v>0.88955577493448101</v>
      </c>
      <c r="O288" s="439">
        <v>0</v>
      </c>
      <c r="P288" s="197">
        <v>182285.27645849998</v>
      </c>
      <c r="Q288" s="159">
        <v>0</v>
      </c>
      <c r="R288" s="159">
        <v>62334.244298964994</v>
      </c>
      <c r="S288" s="159">
        <v>59987.344907188468</v>
      </c>
      <c r="T288" s="159">
        <v>0</v>
      </c>
      <c r="U288" s="309">
        <f t="shared" si="5"/>
        <v>304606.86566465348</v>
      </c>
      <c r="V288" s="44"/>
      <c r="W288" s="44"/>
      <c r="X288" s="110"/>
      <c r="Y288" s="110"/>
      <c r="Z288" s="111"/>
    </row>
    <row r="289" spans="1:26" s="45" customFormat="1">
      <c r="A289" s="127">
        <v>927</v>
      </c>
      <c r="B289" s="124" t="s">
        <v>293</v>
      </c>
      <c r="C289" s="408">
        <v>28811</v>
      </c>
      <c r="D289" s="412">
        <v>0</v>
      </c>
      <c r="E289" s="420">
        <v>0</v>
      </c>
      <c r="F289" s="155">
        <v>3</v>
      </c>
      <c r="G289" s="419">
        <v>1.0412689597723092E-4</v>
      </c>
      <c r="H289" s="269">
        <v>7998</v>
      </c>
      <c r="I289" s="15">
        <v>13538</v>
      </c>
      <c r="J289" s="331">
        <v>0.59078150391490614</v>
      </c>
      <c r="K289" s="427">
        <v>0.59103076090289519</v>
      </c>
      <c r="L289" s="434">
        <v>0.68506552300000001</v>
      </c>
      <c r="M289" s="14">
        <f>Lisäosat[[#This Row],[HYTE-kerroin (sis. Kulttuurihyte)]]*Lisäosat[[#This Row],[Asukasmäärä 31.12.2023]]</f>
        <v>19737.422783153001</v>
      </c>
      <c r="N289" s="427">
        <f>Lisäosat[[#This Row],[HYTE-kerroin (sis. Kulttuurihyte)]]/$N$7</f>
        <v>1.014414583985396</v>
      </c>
      <c r="O289" s="439">
        <v>0</v>
      </c>
      <c r="P289" s="197">
        <v>0</v>
      </c>
      <c r="Q289" s="159">
        <v>0</v>
      </c>
      <c r="R289" s="159">
        <v>230050.80977956348</v>
      </c>
      <c r="S289" s="159">
        <v>581895.60471193667</v>
      </c>
      <c r="T289" s="159">
        <v>0</v>
      </c>
      <c r="U289" s="309">
        <f t="shared" si="5"/>
        <v>811946.41449150012</v>
      </c>
      <c r="V289" s="44"/>
      <c r="W289" s="44"/>
      <c r="X289" s="110"/>
      <c r="Y289" s="110"/>
      <c r="Z289" s="111"/>
    </row>
    <row r="290" spans="1:26" s="45" customFormat="1">
      <c r="A290" s="127">
        <v>931</v>
      </c>
      <c r="B290" s="124" t="s">
        <v>294</v>
      </c>
      <c r="C290" s="408">
        <v>5877</v>
      </c>
      <c r="D290" s="412">
        <v>1.4403999999999999</v>
      </c>
      <c r="E290" s="420">
        <v>0</v>
      </c>
      <c r="F290" s="155">
        <v>0</v>
      </c>
      <c r="G290" s="419">
        <v>0</v>
      </c>
      <c r="H290" s="269">
        <v>2193</v>
      </c>
      <c r="I290" s="15">
        <v>2106</v>
      </c>
      <c r="J290" s="331">
        <v>1.0413105413105412</v>
      </c>
      <c r="K290" s="427">
        <v>1.0417498812820338</v>
      </c>
      <c r="L290" s="434">
        <v>0.64647882199999995</v>
      </c>
      <c r="M290" s="14">
        <f>Lisäosat[[#This Row],[HYTE-kerroin (sis. Kulttuurihyte)]]*Lisäosat[[#This Row],[Asukasmäärä 31.12.2023]]</f>
        <v>3799.3560368939998</v>
      </c>
      <c r="N290" s="427">
        <f>Lisäosat[[#This Row],[HYTE-kerroin (sis. Kulttuurihyte)]]/$N$7</f>
        <v>0.95727711183401476</v>
      </c>
      <c r="O290" s="439">
        <v>0</v>
      </c>
      <c r="P290" s="197">
        <v>819392.01528599998</v>
      </c>
      <c r="Q290" s="159">
        <v>0</v>
      </c>
      <c r="R290" s="159">
        <v>82713.138346498861</v>
      </c>
      <c r="S290" s="159">
        <v>112012.01914220772</v>
      </c>
      <c r="T290" s="159">
        <v>0</v>
      </c>
      <c r="U290" s="309">
        <f t="shared" si="5"/>
        <v>1014117.1727747065</v>
      </c>
      <c r="V290" s="44"/>
      <c r="W290" s="44"/>
      <c r="X290" s="110"/>
      <c r="Y290" s="110"/>
      <c r="Z290" s="111"/>
    </row>
    <row r="291" spans="1:26" s="45" customFormat="1">
      <c r="A291" s="127">
        <v>934</v>
      </c>
      <c r="B291" s="124" t="s">
        <v>295</v>
      </c>
      <c r="C291" s="408">
        <v>2656</v>
      </c>
      <c r="D291" s="412">
        <v>0.61865000000000003</v>
      </c>
      <c r="E291" s="420">
        <v>0</v>
      </c>
      <c r="F291" s="155">
        <v>0</v>
      </c>
      <c r="G291" s="419">
        <v>0</v>
      </c>
      <c r="H291" s="269">
        <v>967</v>
      </c>
      <c r="I291" s="15">
        <v>1059</v>
      </c>
      <c r="J291" s="331">
        <v>0.91312559017941453</v>
      </c>
      <c r="K291" s="427">
        <v>0.91351084755926748</v>
      </c>
      <c r="L291" s="434">
        <v>0.62030850800000004</v>
      </c>
      <c r="M291" s="14">
        <f>Lisäosat[[#This Row],[HYTE-kerroin (sis. Kulttuurihyte)]]*Lisäosat[[#This Row],[Asukasmäärä 31.12.2023]]</f>
        <v>1647.5393972480001</v>
      </c>
      <c r="N291" s="427">
        <f>Lisäosat[[#This Row],[HYTE-kerroin (sis. Kulttuurihyte)]]/$N$7</f>
        <v>0.91852527380132332</v>
      </c>
      <c r="O291" s="439">
        <v>0</v>
      </c>
      <c r="P291" s="197">
        <v>106031.462832</v>
      </c>
      <c r="Q291" s="159">
        <v>0</v>
      </c>
      <c r="R291" s="159">
        <v>32779.107798196266</v>
      </c>
      <c r="S291" s="159">
        <v>48572.498262876819</v>
      </c>
      <c r="T291" s="159">
        <v>0</v>
      </c>
      <c r="U291" s="309">
        <f t="shared" si="5"/>
        <v>187383.0688930731</v>
      </c>
      <c r="V291" s="44"/>
      <c r="W291" s="44"/>
      <c r="X291" s="110"/>
      <c r="Y291" s="110"/>
      <c r="Z291" s="111"/>
    </row>
    <row r="292" spans="1:26" s="45" customFormat="1">
      <c r="A292" s="127">
        <v>935</v>
      </c>
      <c r="B292" s="124" t="s">
        <v>296</v>
      </c>
      <c r="C292" s="408">
        <v>2927</v>
      </c>
      <c r="D292" s="412">
        <v>0.64713333333333334</v>
      </c>
      <c r="E292" s="420">
        <v>0</v>
      </c>
      <c r="F292" s="155">
        <v>0</v>
      </c>
      <c r="G292" s="419">
        <v>0</v>
      </c>
      <c r="H292" s="269">
        <v>1065</v>
      </c>
      <c r="I292" s="15">
        <v>1085</v>
      </c>
      <c r="J292" s="331">
        <v>0.98156682027649766</v>
      </c>
      <c r="K292" s="427">
        <v>0.98198095373787186</v>
      </c>
      <c r="L292" s="434">
        <v>0.48048374900000002</v>
      </c>
      <c r="M292" s="14">
        <f>Lisäosat[[#This Row],[HYTE-kerroin (sis. Kulttuurihyte)]]*Lisäosat[[#This Row],[Asukasmäärä 31.12.2023]]</f>
        <v>1406.375933323</v>
      </c>
      <c r="N292" s="427">
        <f>Lisäosat[[#This Row],[HYTE-kerroin (sis. Kulttuurihyte)]]/$N$7</f>
        <v>0.71147898411109856</v>
      </c>
      <c r="O292" s="439">
        <v>0</v>
      </c>
      <c r="P292" s="197">
        <v>122230.09747800001</v>
      </c>
      <c r="Q292" s="159">
        <v>0</v>
      </c>
      <c r="R292" s="159">
        <v>38831.22897899105</v>
      </c>
      <c r="S292" s="159">
        <v>41462.55482107932</v>
      </c>
      <c r="T292" s="159">
        <v>0</v>
      </c>
      <c r="U292" s="309">
        <f t="shared" si="5"/>
        <v>202523.88127807039</v>
      </c>
      <c r="V292" s="44"/>
      <c r="W292" s="44"/>
      <c r="X292" s="110"/>
      <c r="Y292" s="110"/>
      <c r="Z292" s="111"/>
    </row>
    <row r="293" spans="1:26" s="45" customFormat="1">
      <c r="A293" s="127">
        <v>936</v>
      </c>
      <c r="B293" s="124" t="s">
        <v>297</v>
      </c>
      <c r="C293" s="408">
        <v>6275</v>
      </c>
      <c r="D293" s="412">
        <v>1.0767333333333333</v>
      </c>
      <c r="E293" s="420">
        <v>0</v>
      </c>
      <c r="F293" s="155">
        <v>0</v>
      </c>
      <c r="G293" s="419">
        <v>0</v>
      </c>
      <c r="H293" s="269">
        <v>2254</v>
      </c>
      <c r="I293" s="15">
        <v>2285</v>
      </c>
      <c r="J293" s="331">
        <v>0.98643326039387313</v>
      </c>
      <c r="K293" s="427">
        <v>0.98684944705799293</v>
      </c>
      <c r="L293" s="434">
        <v>0.598457715</v>
      </c>
      <c r="M293" s="14">
        <f>Lisäosat[[#This Row],[HYTE-kerroin (sis. Kulttuurihyte)]]*Lisäosat[[#This Row],[Asukasmäärä 31.12.2023]]</f>
        <v>3755.3221616249998</v>
      </c>
      <c r="N293" s="427">
        <f>Lisäosat[[#This Row],[HYTE-kerroin (sis. Kulttuurihyte)]]/$N$7</f>
        <v>0.88616959051751276</v>
      </c>
      <c r="O293" s="439">
        <v>0</v>
      </c>
      <c r="P293" s="197">
        <v>653995.57882499998</v>
      </c>
      <c r="Q293" s="159">
        <v>0</v>
      </c>
      <c r="R293" s="159">
        <v>83660.40858670311</v>
      </c>
      <c r="S293" s="159">
        <v>110713.81933370308</v>
      </c>
      <c r="T293" s="159">
        <v>0</v>
      </c>
      <c r="U293" s="309">
        <f t="shared" si="5"/>
        <v>848369.80674540624</v>
      </c>
      <c r="V293" s="44"/>
      <c r="W293" s="44"/>
      <c r="X293" s="110"/>
      <c r="Y293" s="110"/>
      <c r="Z293" s="111"/>
    </row>
    <row r="294" spans="1:26" s="45" customFormat="1">
      <c r="A294" s="127">
        <v>946</v>
      </c>
      <c r="B294" s="124" t="s">
        <v>298</v>
      </c>
      <c r="C294" s="408">
        <v>6291</v>
      </c>
      <c r="D294" s="412">
        <v>0.40866666666666668</v>
      </c>
      <c r="E294" s="420">
        <v>0</v>
      </c>
      <c r="F294" s="155">
        <v>0</v>
      </c>
      <c r="G294" s="419">
        <v>0</v>
      </c>
      <c r="H294" s="269">
        <v>2338</v>
      </c>
      <c r="I294" s="15">
        <v>2707</v>
      </c>
      <c r="J294" s="331">
        <v>0.86368673808644258</v>
      </c>
      <c r="K294" s="427">
        <v>0.86405113668977551</v>
      </c>
      <c r="L294" s="434">
        <v>0.56500821300000004</v>
      </c>
      <c r="M294" s="14">
        <f>Lisäosat[[#This Row],[HYTE-kerroin (sis. Kulttuurihyte)]]*Lisäosat[[#This Row],[Asukasmäärä 31.12.2023]]</f>
        <v>3554.4666679830002</v>
      </c>
      <c r="N294" s="427">
        <f>Lisäosat[[#This Row],[HYTE-kerroin (sis. Kulttuurihyte)]]/$N$7</f>
        <v>0.83663905436199726</v>
      </c>
      <c r="O294" s="439">
        <v>0</v>
      </c>
      <c r="P294" s="197">
        <v>165901.59666000001</v>
      </c>
      <c r="Q294" s="159">
        <v>0</v>
      </c>
      <c r="R294" s="159">
        <v>73436.924419366755</v>
      </c>
      <c r="S294" s="159">
        <v>104792.22915363728</v>
      </c>
      <c r="T294" s="159">
        <v>0</v>
      </c>
      <c r="U294" s="309">
        <f t="shared" si="5"/>
        <v>344130.75023300404</v>
      </c>
      <c r="V294" s="44"/>
      <c r="W294" s="44"/>
      <c r="X294" s="110"/>
      <c r="Y294" s="110"/>
      <c r="Z294" s="111"/>
    </row>
    <row r="295" spans="1:26" s="45" customFormat="1">
      <c r="A295" s="127">
        <v>976</v>
      </c>
      <c r="B295" s="124" t="s">
        <v>299</v>
      </c>
      <c r="C295" s="408">
        <v>3765</v>
      </c>
      <c r="D295" s="412">
        <v>1.7273999999999998</v>
      </c>
      <c r="E295" s="420">
        <v>0</v>
      </c>
      <c r="F295" s="155">
        <v>3</v>
      </c>
      <c r="G295" s="419">
        <v>7.9681274900398409E-4</v>
      </c>
      <c r="H295" s="269">
        <v>1184</v>
      </c>
      <c r="I295" s="15">
        <v>1307</v>
      </c>
      <c r="J295" s="331">
        <v>0.90589135424636569</v>
      </c>
      <c r="K295" s="427">
        <v>0.90627355942528298</v>
      </c>
      <c r="L295" s="434">
        <v>0.62430539799999996</v>
      </c>
      <c r="M295" s="14">
        <f>Lisäosat[[#This Row],[HYTE-kerroin (sis. Kulttuurihyte)]]*Lisäosat[[#This Row],[Asukasmäärä 31.12.2023]]</f>
        <v>2350.5098234699999</v>
      </c>
      <c r="N295" s="427">
        <f>Lisäosat[[#This Row],[HYTE-kerroin (sis. Kulttuurihyte)]]/$N$7</f>
        <v>0.92444369090225997</v>
      </c>
      <c r="O295" s="439">
        <v>0</v>
      </c>
      <c r="P295" s="197">
        <v>1259043.7329899999</v>
      </c>
      <c r="Q295" s="159">
        <v>0</v>
      </c>
      <c r="R295" s="159">
        <v>46097.740541200932</v>
      </c>
      <c r="S295" s="159">
        <v>69297.362180277938</v>
      </c>
      <c r="T295" s="159">
        <v>0</v>
      </c>
      <c r="U295" s="309">
        <f t="shared" si="5"/>
        <v>1374438.8357114787</v>
      </c>
      <c r="V295" s="44"/>
      <c r="W295" s="44"/>
      <c r="X295" s="110"/>
      <c r="Y295" s="110"/>
      <c r="Z295" s="111"/>
    </row>
    <row r="296" spans="1:26" s="45" customFormat="1">
      <c r="A296" s="127">
        <v>977</v>
      </c>
      <c r="B296" s="124" t="s">
        <v>300</v>
      </c>
      <c r="C296" s="408">
        <v>15369</v>
      </c>
      <c r="D296" s="412">
        <v>0</v>
      </c>
      <c r="E296" s="420">
        <v>0</v>
      </c>
      <c r="F296" s="155">
        <v>1</v>
      </c>
      <c r="G296" s="419">
        <v>6.5066042032663147E-5</v>
      </c>
      <c r="H296" s="269">
        <v>6936</v>
      </c>
      <c r="I296" s="15">
        <v>6372</v>
      </c>
      <c r="J296" s="331">
        <v>1.088512241054614</v>
      </c>
      <c r="K296" s="427">
        <v>1.088971495924302</v>
      </c>
      <c r="L296" s="434">
        <v>0.64343307699999996</v>
      </c>
      <c r="M296" s="14">
        <f>Lisäosat[[#This Row],[HYTE-kerroin (sis. Kulttuurihyte)]]*Lisäosat[[#This Row],[Asukasmäärä 31.12.2023]]</f>
        <v>9888.9229604129996</v>
      </c>
      <c r="N296" s="427">
        <f>Lisäosat[[#This Row],[HYTE-kerroin (sis. Kulttuurihyte)]]/$N$7</f>
        <v>0.95276710798274733</v>
      </c>
      <c r="O296" s="439">
        <v>0.14217533979465161</v>
      </c>
      <c r="P296" s="197">
        <v>0</v>
      </c>
      <c r="Q296" s="159">
        <v>0</v>
      </c>
      <c r="R296" s="159">
        <v>226108.80346082666</v>
      </c>
      <c r="S296" s="159">
        <v>291543.67666030407</v>
      </c>
      <c r="T296" s="159">
        <v>23074.579939530249</v>
      </c>
      <c r="U296" s="309">
        <f t="shared" si="5"/>
        <v>540727.06006066094</v>
      </c>
      <c r="V296" s="44"/>
      <c r="W296" s="44"/>
      <c r="X296" s="110"/>
      <c r="Y296" s="110"/>
      <c r="Z296" s="111"/>
    </row>
    <row r="297" spans="1:26" s="45" customFormat="1">
      <c r="A297" s="127">
        <v>980</v>
      </c>
      <c r="B297" s="124" t="s">
        <v>301</v>
      </c>
      <c r="C297" s="408">
        <v>33677</v>
      </c>
      <c r="D297" s="412">
        <v>0</v>
      </c>
      <c r="E297" s="420">
        <v>0</v>
      </c>
      <c r="F297" s="155">
        <v>1</v>
      </c>
      <c r="G297" s="419">
        <v>2.9693856341123021E-5</v>
      </c>
      <c r="H297" s="269">
        <v>10314</v>
      </c>
      <c r="I297" s="15">
        <v>15455</v>
      </c>
      <c r="J297" s="331">
        <v>0.66735684244581039</v>
      </c>
      <c r="K297" s="427">
        <v>0.66763840738201718</v>
      </c>
      <c r="L297" s="434">
        <v>0.67686464800000001</v>
      </c>
      <c r="M297" s="14">
        <f>Lisäosat[[#This Row],[HYTE-kerroin (sis. Kulttuurihyte)]]*Lisäosat[[#This Row],[Asukasmäärä 31.12.2023]]</f>
        <v>22794.770750696</v>
      </c>
      <c r="N297" s="427">
        <f>Lisäosat[[#This Row],[HYTE-kerroin (sis. Kulttuurihyte)]]/$N$7</f>
        <v>1.0022710927102685</v>
      </c>
      <c r="O297" s="439">
        <v>0.32388805591302045</v>
      </c>
      <c r="P297" s="197">
        <v>0</v>
      </c>
      <c r="Q297" s="159">
        <v>0</v>
      </c>
      <c r="R297" s="159">
        <v>303759.63229941064</v>
      </c>
      <c r="S297" s="159">
        <v>672031.858261046</v>
      </c>
      <c r="T297" s="159">
        <v>115184.02430285826</v>
      </c>
      <c r="U297" s="309">
        <f t="shared" si="5"/>
        <v>1090975.5148633148</v>
      </c>
      <c r="V297" s="44"/>
      <c r="W297" s="44"/>
      <c r="X297" s="110"/>
      <c r="Y297" s="110"/>
      <c r="Z297" s="111"/>
    </row>
    <row r="298" spans="1:26" s="45" customFormat="1">
      <c r="A298" s="127">
        <v>981</v>
      </c>
      <c r="B298" s="124" t="s">
        <v>302</v>
      </c>
      <c r="C298" s="408">
        <v>2207</v>
      </c>
      <c r="D298" s="412">
        <v>0</v>
      </c>
      <c r="E298" s="420">
        <v>0</v>
      </c>
      <c r="F298" s="155">
        <v>0</v>
      </c>
      <c r="G298" s="419">
        <v>0</v>
      </c>
      <c r="H298" s="269">
        <v>578</v>
      </c>
      <c r="I298" s="15">
        <v>972</v>
      </c>
      <c r="J298" s="331">
        <v>0.59465020576131689</v>
      </c>
      <c r="K298" s="427">
        <v>0.59490109499568344</v>
      </c>
      <c r="L298" s="434">
        <v>0.475757706</v>
      </c>
      <c r="M298" s="14">
        <f>Lisäosat[[#This Row],[HYTE-kerroin (sis. Kulttuurihyte)]]*Lisäosat[[#This Row],[Asukasmäärä 31.12.2023]]</f>
        <v>1049.9972571420001</v>
      </c>
      <c r="N298" s="427">
        <f>Lisäosat[[#This Row],[HYTE-kerroin (sis. Kulttuurihyte)]]/$N$7</f>
        <v>0.70448086964936396</v>
      </c>
      <c r="O298" s="439">
        <v>0</v>
      </c>
      <c r="P298" s="197">
        <v>0</v>
      </c>
      <c r="Q298" s="159">
        <v>0</v>
      </c>
      <c r="R298" s="159">
        <v>17737.910142015447</v>
      </c>
      <c r="S298" s="159">
        <v>30955.854551184475</v>
      </c>
      <c r="T298" s="159">
        <v>0</v>
      </c>
      <c r="U298" s="309">
        <f t="shared" si="5"/>
        <v>48693.764693199919</v>
      </c>
      <c r="V298" s="44"/>
      <c r="W298" s="44"/>
      <c r="X298" s="110"/>
      <c r="Y298" s="110"/>
      <c r="Z298" s="111"/>
    </row>
    <row r="299" spans="1:26" s="45" customFormat="1">
      <c r="A299" s="127">
        <v>989</v>
      </c>
      <c r="B299" s="124" t="s">
        <v>303</v>
      </c>
      <c r="C299" s="408">
        <v>5316</v>
      </c>
      <c r="D299" s="412">
        <v>0.91591666666666671</v>
      </c>
      <c r="E299" s="420">
        <v>0</v>
      </c>
      <c r="F299" s="155">
        <v>0</v>
      </c>
      <c r="G299" s="419">
        <v>0</v>
      </c>
      <c r="H299" s="269">
        <v>2005</v>
      </c>
      <c r="I299" s="15">
        <v>1966</v>
      </c>
      <c r="J299" s="331">
        <v>1.0198372329603256</v>
      </c>
      <c r="K299" s="427">
        <v>1.0202675131150736</v>
      </c>
      <c r="L299" s="434">
        <v>0.655713039</v>
      </c>
      <c r="M299" s="14">
        <f>Lisäosat[[#This Row],[HYTE-kerroin (sis. Kulttuurihyte)]]*Lisäosat[[#This Row],[Asukasmäärä 31.12.2023]]</f>
        <v>3485.7705153239999</v>
      </c>
      <c r="N299" s="427">
        <f>Lisäosat[[#This Row],[HYTE-kerroin (sis. Kulttuurihyte)]]/$N$7</f>
        <v>0.97095073002379761</v>
      </c>
      <c r="O299" s="439">
        <v>0</v>
      </c>
      <c r="P299" s="197">
        <v>314197.40889000002</v>
      </c>
      <c r="Q299" s="159">
        <v>0</v>
      </c>
      <c r="R299" s="159">
        <v>73274.755767213574</v>
      </c>
      <c r="S299" s="159">
        <v>102766.93994885759</v>
      </c>
      <c r="T299" s="159">
        <v>0</v>
      </c>
      <c r="U299" s="309">
        <f t="shared" si="5"/>
        <v>490239.1046060712</v>
      </c>
      <c r="V299" s="44"/>
      <c r="W299" s="44"/>
      <c r="X299" s="110"/>
      <c r="Y299" s="110"/>
      <c r="Z299" s="111"/>
    </row>
    <row r="300" spans="1:26" s="45" customFormat="1">
      <c r="A300" s="127">
        <v>992</v>
      </c>
      <c r="B300" s="124" t="s">
        <v>304</v>
      </c>
      <c r="C300" s="409">
        <v>17971</v>
      </c>
      <c r="D300" s="413">
        <v>0</v>
      </c>
      <c r="E300" s="421">
        <v>0</v>
      </c>
      <c r="F300" s="422">
        <v>7</v>
      </c>
      <c r="G300" s="423">
        <v>3.8951644315842192E-4</v>
      </c>
      <c r="H300" s="394">
        <v>7333</v>
      </c>
      <c r="I300" s="402">
        <v>6759</v>
      </c>
      <c r="J300" s="428">
        <v>1.0849238052966415</v>
      </c>
      <c r="K300" s="429">
        <v>1.0853815461671898</v>
      </c>
      <c r="L300" s="435">
        <v>0.54563734900000005</v>
      </c>
      <c r="M300" s="436">
        <f>Lisäosat[[#This Row],[HYTE-kerroin (sis. Kulttuurihyte)]]*Lisäosat[[#This Row],[Asukasmäärä 31.12.2023]]</f>
        <v>9805.6487988790013</v>
      </c>
      <c r="N300" s="429">
        <f>Lisäosat[[#This Row],[HYTE-kerroin (sis. Kulttuurihyte)]]/$N$7</f>
        <v>0.80795553973999856</v>
      </c>
      <c r="O300" s="440">
        <v>0</v>
      </c>
      <c r="P300" s="197">
        <v>0</v>
      </c>
      <c r="Q300" s="159">
        <v>0</v>
      </c>
      <c r="R300" s="159">
        <v>263517.84276096435</v>
      </c>
      <c r="S300" s="159">
        <v>289088.60088293022</v>
      </c>
      <c r="T300" s="159">
        <v>0</v>
      </c>
      <c r="U300" s="309">
        <f t="shared" si="5"/>
        <v>552606.44364389451</v>
      </c>
      <c r="V300" s="44"/>
      <c r="W300" s="44"/>
      <c r="X300" s="110"/>
      <c r="Y300" s="110"/>
      <c r="Z300" s="111"/>
    </row>
  </sheetData>
  <pageMargins left="0.51181102362204722" right="0.51181102362204722" top="0.55118110236220474" bottom="0.55118110236220474" header="0.31496062992125984" footer="0.31496062992125984"/>
  <pageSetup paperSize="9" scale="80" orientation="landscape" r:id="rId1"/>
  <ignoredErrors>
    <ignoredError sqref="U6 U10:U300 U8:U9" formulaRange="1"/>
    <ignoredError sqref="M7" calculatedColumn="1"/>
  </ignoredErrors>
  <tableParts count="2">
    <tablePart r:id="rId2"/>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18"/>
  <sheetViews>
    <sheetView zoomScale="90" zoomScaleNormal="90" workbookViewId="0">
      <pane xSplit="2" ySplit="4" topLeftCell="C5" activePane="bottomRight" state="frozen"/>
      <selection activeCell="G29" sqref="G29"/>
      <selection pane="topRight" activeCell="G29" sqref="G29"/>
      <selection pane="bottomLeft" activeCell="G29" sqref="G29"/>
      <selection pane="bottomRight"/>
    </sheetView>
  </sheetViews>
  <sheetFormatPr defaultRowHeight="15"/>
  <cols>
    <col min="1" max="1" width="10.625" style="239" customWidth="1"/>
    <col min="2" max="3" width="20.625" style="239" customWidth="1"/>
    <col min="4" max="4" width="24.125" style="131" customWidth="1"/>
    <col min="5" max="5" width="30.375" style="131" bestFit="1" customWidth="1"/>
    <col min="6" max="6" width="20.625" style="131" bestFit="1" customWidth="1"/>
    <col min="7" max="7" width="23.5" style="36" customWidth="1"/>
    <col min="8" max="8" width="15.875" style="36" bestFit="1" customWidth="1"/>
    <col min="9" max="9" width="21.125" style="131" customWidth="1"/>
    <col min="10" max="10" width="21.375" style="131" bestFit="1" customWidth="1"/>
    <col min="11" max="11" width="28.625" style="131" customWidth="1"/>
    <col min="12" max="14" width="23.125" style="131" customWidth="1"/>
    <col min="15" max="15" width="25.125" style="248" bestFit="1" customWidth="1"/>
    <col min="16" max="16" width="8.625" style="21"/>
  </cols>
  <sheetData>
    <row r="1" spans="1:16" ht="23.25">
      <c r="A1" s="312" t="s">
        <v>873</v>
      </c>
      <c r="B1" s="238"/>
      <c r="C1" s="238"/>
      <c r="D1" s="41"/>
      <c r="E1" s="321"/>
      <c r="F1" s="41"/>
      <c r="G1" s="38"/>
      <c r="H1" s="38"/>
      <c r="I1" s="41"/>
      <c r="J1" s="41"/>
      <c r="K1" s="41"/>
      <c r="L1" s="41"/>
      <c r="M1" s="41"/>
      <c r="N1" s="41"/>
    </row>
    <row r="2" spans="1:16" ht="14.25">
      <c r="A2" s="239" t="s">
        <v>367</v>
      </c>
      <c r="B2" s="240"/>
      <c r="C2" s="328"/>
      <c r="D2" s="328"/>
      <c r="E2" s="328"/>
      <c r="F2" s="328"/>
      <c r="G2" s="328"/>
      <c r="H2" s="328"/>
      <c r="I2" s="363"/>
      <c r="J2" s="328"/>
      <c r="K2" s="328"/>
      <c r="L2" s="328"/>
      <c r="M2" s="328"/>
      <c r="N2" s="328"/>
      <c r="O2" s="338"/>
    </row>
    <row r="3" spans="1:16" s="212" customFormat="1" ht="71.25">
      <c r="A3" s="246" t="s">
        <v>669</v>
      </c>
      <c r="B3" s="246" t="s">
        <v>3</v>
      </c>
      <c r="C3" s="246" t="s">
        <v>755</v>
      </c>
      <c r="D3" s="252" t="s">
        <v>874</v>
      </c>
      <c r="E3" s="252" t="s">
        <v>756</v>
      </c>
      <c r="F3" s="252" t="s">
        <v>757</v>
      </c>
      <c r="G3" s="252" t="s">
        <v>734</v>
      </c>
      <c r="H3" s="252" t="s">
        <v>744</v>
      </c>
      <c r="I3" s="364" t="s">
        <v>727</v>
      </c>
      <c r="J3" s="364" t="s">
        <v>875</v>
      </c>
      <c r="K3" s="364" t="s">
        <v>943</v>
      </c>
      <c r="L3" s="364" t="s">
        <v>876</v>
      </c>
      <c r="M3" s="484" t="s">
        <v>877</v>
      </c>
      <c r="N3" s="484" t="s">
        <v>944</v>
      </c>
      <c r="O3" s="250" t="s">
        <v>745</v>
      </c>
      <c r="P3" s="247"/>
    </row>
    <row r="4" spans="1:16" s="31" customFormat="1">
      <c r="A4" s="237"/>
      <c r="B4" s="237" t="s">
        <v>371</v>
      </c>
      <c r="C4" s="241">
        <f>SUM(C5:C297)</f>
        <v>-5517576.8999999966</v>
      </c>
      <c r="D4" s="241">
        <f t="shared" ref="D4:H4" si="0">SUM(D5:D297)</f>
        <v>-9976224.9000000041</v>
      </c>
      <c r="E4" s="241">
        <f t="shared" si="0"/>
        <v>-5517576.8999999966</v>
      </c>
      <c r="F4" s="241">
        <f t="shared" si="0"/>
        <v>-55733.100000000049</v>
      </c>
      <c r="G4" s="241">
        <f t="shared" si="0"/>
        <v>-136936226.70000011</v>
      </c>
      <c r="H4" s="241">
        <f t="shared" si="0"/>
        <v>-343381272.32999986</v>
      </c>
      <c r="I4" s="241">
        <f t="shared" ref="I4" si="1">SUM(I5:I297)</f>
        <v>0.28001567648607306</v>
      </c>
      <c r="J4" s="241">
        <f>SUM(J5:J297)</f>
        <v>-1.4260876923799515E-8</v>
      </c>
      <c r="K4" s="241">
        <f>SUM(K5:K297)</f>
        <v>-166875179.8293699</v>
      </c>
      <c r="L4" s="241">
        <f>SUM(L5:L297)</f>
        <v>-64000000.000000015</v>
      </c>
      <c r="M4" s="485">
        <f>SUM(M5:M297)</f>
        <v>216081015.58784497</v>
      </c>
      <c r="N4" s="485">
        <f t="shared" ref="N4" si="2">SUM(N5:N297)</f>
        <v>4707.8849998153164</v>
      </c>
      <c r="O4" s="251">
        <f>SUM(O5:O297)</f>
        <v>-516174066.90650958</v>
      </c>
      <c r="P4" s="114"/>
    </row>
    <row r="5" spans="1:16" s="45" customFormat="1">
      <c r="A5" s="239">
        <v>5</v>
      </c>
      <c r="B5" s="239" t="s">
        <v>12</v>
      </c>
      <c r="C5" s="326">
        <v>-9021.8700000000008</v>
      </c>
      <c r="D5" s="121">
        <v>-16312.27</v>
      </c>
      <c r="E5" s="121">
        <v>-9021.8700000000008</v>
      </c>
      <c r="F5" s="121">
        <v>-91.13</v>
      </c>
      <c r="G5" s="121">
        <v>-223906.41</v>
      </c>
      <c r="H5" s="121">
        <v>-294063.23</v>
      </c>
      <c r="I5" s="121">
        <v>1107790.4369840571</v>
      </c>
      <c r="J5" s="34">
        <v>-18259.928964565584</v>
      </c>
      <c r="K5" s="34">
        <v>-276928.53299104393</v>
      </c>
      <c r="L5" s="34">
        <v>-104647.32806895721</v>
      </c>
      <c r="M5" s="486">
        <v>316760.57052561705</v>
      </c>
      <c r="N5" s="486">
        <v>113812.75298254815</v>
      </c>
      <c r="O5" s="251">
        <f>SUM(LisäyksetVähennykset[[#This Row],[Kuntien yhdistymisavustus (-0,99 €/as)]:[TE25: Uudistuksen rahoituksen siirtymäajan porrastus (50 % kustannusperusteinen / 50 % vos-kriteerit)]])</f>
        <v>586111.19046765543</v>
      </c>
      <c r="P5" s="112"/>
    </row>
    <row r="6" spans="1:16" s="45" customFormat="1">
      <c r="A6" s="239">
        <v>9</v>
      </c>
      <c r="B6" s="239" t="s">
        <v>13</v>
      </c>
      <c r="C6" s="326">
        <v>-2412.63</v>
      </c>
      <c r="D6" s="121">
        <v>-4362.2300000000005</v>
      </c>
      <c r="E6" s="121">
        <v>-2412.63</v>
      </c>
      <c r="F6" s="121">
        <v>-24.37</v>
      </c>
      <c r="G6" s="121">
        <v>-59877.090000000004</v>
      </c>
      <c r="H6" s="121">
        <v>-63160.73</v>
      </c>
      <c r="I6" s="121">
        <v>507476.23555039527</v>
      </c>
      <c r="J6" s="34">
        <v>3161.2354133661684</v>
      </c>
      <c r="K6" s="34">
        <v>-73793.32682446744</v>
      </c>
      <c r="L6" s="34">
        <v>-27984.806156485101</v>
      </c>
      <c r="M6" s="486">
        <v>76029.623449555904</v>
      </c>
      <c r="N6" s="486">
        <v>8408.971407885736</v>
      </c>
      <c r="O6" s="251">
        <f>SUM(LisäyksetVähennykset[[#This Row],[Kuntien yhdistymisavustus (-0,99 €/as)]:[TE25: Uudistuksen rahoituksen siirtymäajan porrastus (50 % kustannusperusteinen / 50 % vos-kriteerit)]])</f>
        <v>361048.2528402505</v>
      </c>
      <c r="P6" s="112"/>
    </row>
    <row r="7" spans="1:16" s="45" customFormat="1">
      <c r="A7" s="239">
        <v>10</v>
      </c>
      <c r="B7" s="239" t="s">
        <v>14</v>
      </c>
      <c r="C7" s="326">
        <v>-10823.67</v>
      </c>
      <c r="D7" s="121">
        <v>-19570.07</v>
      </c>
      <c r="E7" s="121">
        <v>-10823.67</v>
      </c>
      <c r="F7" s="121">
        <v>-109.33</v>
      </c>
      <c r="G7" s="121">
        <v>-268623.81</v>
      </c>
      <c r="H7" s="121">
        <v>-365037.52</v>
      </c>
      <c r="I7" s="121">
        <v>-340479.36541170999</v>
      </c>
      <c r="J7" s="34">
        <v>-871244.55810546223</v>
      </c>
      <c r="K7" s="34">
        <v>-334799.14769319067</v>
      </c>
      <c r="L7" s="34">
        <v>-125546.93709842087</v>
      </c>
      <c r="M7" s="486">
        <v>534209.61680744821</v>
      </c>
      <c r="N7" s="486">
        <v>76156.414070494706</v>
      </c>
      <c r="O7" s="251">
        <f>SUM(LisäyksetVähennykset[[#This Row],[Kuntien yhdistymisavustus (-0,99 €/as)]:[TE25: Uudistuksen rahoituksen siirtymäajan porrastus (50 % kustannusperusteinen / 50 % vos-kriteerit)]])</f>
        <v>-1736692.0474308406</v>
      </c>
      <c r="P7" s="112"/>
    </row>
    <row r="8" spans="1:16" s="45" customFormat="1">
      <c r="A8" s="239">
        <v>16</v>
      </c>
      <c r="B8" s="239" t="s">
        <v>15</v>
      </c>
      <c r="C8" s="326">
        <v>-7888.32</v>
      </c>
      <c r="D8" s="121">
        <v>-14262.720000000001</v>
      </c>
      <c r="E8" s="121">
        <v>-7888.32</v>
      </c>
      <c r="F8" s="121">
        <v>-79.680000000000007</v>
      </c>
      <c r="G8" s="121">
        <v>-195773.76</v>
      </c>
      <c r="H8" s="121">
        <v>-262689.99</v>
      </c>
      <c r="I8" s="121">
        <v>2192505.7711044662</v>
      </c>
      <c r="J8" s="34">
        <v>1858965.2414497747</v>
      </c>
      <c r="K8" s="34">
        <v>-241675.40709901185</v>
      </c>
      <c r="L8" s="34">
        <v>-91498.947663058396</v>
      </c>
      <c r="M8" s="486">
        <v>294529.82823765307</v>
      </c>
      <c r="N8" s="486">
        <v>54961.210545606853</v>
      </c>
      <c r="O8" s="251">
        <f>SUM(LisäyksetVähennykset[[#This Row],[Kuntien yhdistymisavustus (-0,99 €/as)]:[TE25: Uudistuksen rahoituksen siirtymäajan porrastus (50 % kustannusperusteinen / 50 % vos-kriteerit)]])</f>
        <v>3579204.9065754307</v>
      </c>
      <c r="P8" s="112"/>
    </row>
    <row r="9" spans="1:16" s="45" customFormat="1">
      <c r="A9" s="239">
        <v>18</v>
      </c>
      <c r="B9" s="239" t="s">
        <v>16</v>
      </c>
      <c r="C9" s="326">
        <v>-4653</v>
      </c>
      <c r="D9" s="121">
        <v>-8413</v>
      </c>
      <c r="E9" s="121">
        <v>-4653</v>
      </c>
      <c r="F9" s="121">
        <v>-47</v>
      </c>
      <c r="G9" s="121">
        <v>-115479</v>
      </c>
      <c r="H9" s="121">
        <v>-103341.56</v>
      </c>
      <c r="I9" s="121">
        <v>-456244.78357754328</v>
      </c>
      <c r="J9" s="34">
        <v>-217878.53490299068</v>
      </c>
      <c r="K9" s="34">
        <v>-143636.13227010152</v>
      </c>
      <c r="L9" s="34">
        <v>-53971.517823340168</v>
      </c>
      <c r="M9" s="486">
        <v>135236.42157126064</v>
      </c>
      <c r="N9" s="486">
        <v>-45761.904724545049</v>
      </c>
      <c r="O9" s="251">
        <f>SUM(LisäyksetVähennykset[[#This Row],[Kuntien yhdistymisavustus (-0,99 €/as)]:[TE25: Uudistuksen rahoituksen siirtymäajan porrastus (50 % kustannusperusteinen / 50 % vos-kriteerit)]])</f>
        <v>-1018843.0117272601</v>
      </c>
      <c r="P9" s="112"/>
    </row>
    <row r="10" spans="1:16" s="45" customFormat="1">
      <c r="A10" s="239">
        <v>19</v>
      </c>
      <c r="B10" s="239" t="s">
        <v>17</v>
      </c>
      <c r="C10" s="326">
        <v>-3921.39</v>
      </c>
      <c r="D10" s="121">
        <v>-7090.1900000000005</v>
      </c>
      <c r="E10" s="121">
        <v>-3921.39</v>
      </c>
      <c r="F10" s="121">
        <v>-39.61</v>
      </c>
      <c r="G10" s="121">
        <v>-97321.77</v>
      </c>
      <c r="H10" s="121">
        <v>-114723.37</v>
      </c>
      <c r="I10" s="121">
        <v>-363674.33562044165</v>
      </c>
      <c r="J10" s="34">
        <v>-454449.02090322552</v>
      </c>
      <c r="K10" s="34">
        <v>-119571.12417613952</v>
      </c>
      <c r="L10" s="34">
        <v>-45485.357893244764</v>
      </c>
      <c r="M10" s="486">
        <v>77081.081784552516</v>
      </c>
      <c r="N10" s="486">
        <v>-19508.335315668228</v>
      </c>
      <c r="O10" s="251">
        <f>SUM(LisäyksetVähennykset[[#This Row],[Kuntien yhdistymisavustus (-0,99 €/as)]:[TE25: Uudistuksen rahoituksen siirtymäajan porrastus (50 % kustannusperusteinen / 50 % vos-kriteerit)]])</f>
        <v>-1152624.8121241673</v>
      </c>
      <c r="P10" s="112"/>
    </row>
    <row r="11" spans="1:16" s="45" customFormat="1">
      <c r="A11" s="239">
        <v>20</v>
      </c>
      <c r="B11" s="239" t="s">
        <v>18</v>
      </c>
      <c r="C11" s="326">
        <v>-16240.95</v>
      </c>
      <c r="D11" s="121">
        <v>-29364.95</v>
      </c>
      <c r="E11" s="121">
        <v>-16240.95</v>
      </c>
      <c r="F11" s="121">
        <v>-164.05</v>
      </c>
      <c r="G11" s="121">
        <v>-403070.85</v>
      </c>
      <c r="H11" s="121">
        <v>-849576.25</v>
      </c>
      <c r="I11" s="121">
        <v>-2787357.7915534563</v>
      </c>
      <c r="J11" s="34">
        <v>-2140050.9425399802</v>
      </c>
      <c r="K11" s="34">
        <v>-496770.52422535839</v>
      </c>
      <c r="L11" s="34">
        <v>-188383.56380678626</v>
      </c>
      <c r="M11" s="486">
        <v>1028469.863971878</v>
      </c>
      <c r="N11" s="486">
        <v>-1950.927801841055</v>
      </c>
      <c r="O11" s="251">
        <f>SUM(LisäyksetVähennykset[[#This Row],[Kuntien yhdistymisavustus (-0,99 €/as)]:[TE25: Uudistuksen rahoituksen siirtymäajan porrastus (50 % kustannusperusteinen / 50 % vos-kriteerit)]])</f>
        <v>-5900701.8859555442</v>
      </c>
      <c r="P11" s="112"/>
    </row>
    <row r="12" spans="1:16" s="45" customFormat="1">
      <c r="A12" s="239">
        <v>46</v>
      </c>
      <c r="B12" s="239" t="s">
        <v>19</v>
      </c>
      <c r="C12" s="326">
        <v>-1306.8</v>
      </c>
      <c r="D12" s="121">
        <v>-2362.8000000000002</v>
      </c>
      <c r="E12" s="121">
        <v>-1306.8</v>
      </c>
      <c r="F12" s="121">
        <v>-13.200000000000001</v>
      </c>
      <c r="G12" s="121">
        <v>-32432.400000000001</v>
      </c>
      <c r="H12" s="121">
        <v>-43579.81</v>
      </c>
      <c r="I12" s="121">
        <v>386280.54903308325</v>
      </c>
      <c r="J12" s="34">
        <v>267592.27565083368</v>
      </c>
      <c r="K12" s="34">
        <v>-40440.069992485012</v>
      </c>
      <c r="L12" s="34">
        <v>-15157.958197193408</v>
      </c>
      <c r="M12" s="486">
        <v>39422.009864600623</v>
      </c>
      <c r="N12" s="486">
        <v>50388.785786282897</v>
      </c>
      <c r="O12" s="251">
        <f>SUM(LisäyksetVähennykset[[#This Row],[Kuntien yhdistymisavustus (-0,99 €/as)]:[TE25: Uudistuksen rahoituksen siirtymäajan porrastus (50 % kustannusperusteinen / 50 % vos-kriteerit)]])</f>
        <v>607083.78214512207</v>
      </c>
      <c r="P12" s="112"/>
    </row>
    <row r="13" spans="1:16" s="45" customFormat="1">
      <c r="A13" s="239">
        <v>47</v>
      </c>
      <c r="B13" s="239" t="s">
        <v>20</v>
      </c>
      <c r="C13" s="326">
        <v>-1753.29</v>
      </c>
      <c r="D13" s="121">
        <v>-3170.09</v>
      </c>
      <c r="E13" s="121">
        <v>-1753.29</v>
      </c>
      <c r="F13" s="121">
        <v>-17.71</v>
      </c>
      <c r="G13" s="121">
        <v>-43513.47</v>
      </c>
      <c r="H13" s="121">
        <v>-28062.26</v>
      </c>
      <c r="I13" s="121">
        <v>-128150.09762661636</v>
      </c>
      <c r="J13" s="34">
        <v>544140.52573510318</v>
      </c>
      <c r="K13" s="34">
        <v>-54613.696313490196</v>
      </c>
      <c r="L13" s="34">
        <v>-20336.927247901156</v>
      </c>
      <c r="M13" s="486">
        <v>44772.299622023187</v>
      </c>
      <c r="N13" s="486">
        <v>43900.739869133336</v>
      </c>
      <c r="O13" s="251">
        <f>SUM(LisäyksetVähennykset[[#This Row],[Kuntien yhdistymisavustus (-0,99 €/as)]:[TE25: Uudistuksen rahoituksen siirtymäajan porrastus (50 % kustannusperusteinen / 50 % vos-kriteerit)]])</f>
        <v>351442.73403825198</v>
      </c>
      <c r="P13" s="112"/>
    </row>
    <row r="14" spans="1:16" s="45" customFormat="1">
      <c r="A14" s="239">
        <v>49</v>
      </c>
      <c r="B14" s="239" t="s">
        <v>21</v>
      </c>
      <c r="C14" s="326">
        <v>-310883.76</v>
      </c>
      <c r="D14" s="121">
        <v>-562102.96</v>
      </c>
      <c r="E14" s="121">
        <v>-310883.76</v>
      </c>
      <c r="F14" s="121">
        <v>-3140.2400000000002</v>
      </c>
      <c r="G14" s="121">
        <v>-7715569.6799999997</v>
      </c>
      <c r="H14" s="121">
        <v>-23734907.18</v>
      </c>
      <c r="I14" s="121">
        <v>116356663.43116146</v>
      </c>
      <c r="J14" s="34">
        <v>39997666.107278034</v>
      </c>
      <c r="K14" s="34">
        <v>-9206041.7053585909</v>
      </c>
      <c r="L14" s="34">
        <v>-3606032.3219056535</v>
      </c>
      <c r="M14" s="486">
        <v>9001638.3093743287</v>
      </c>
      <c r="N14" s="486">
        <v>-6291504.0620000046</v>
      </c>
      <c r="O14" s="251">
        <f>SUM(LisäyksetVähennykset[[#This Row],[Kuntien yhdistymisavustus (-0,99 €/as)]:[TE25: Uudistuksen rahoituksen siirtymäajan porrastus (50 % kustannusperusteinen / 50 % vos-kriteerit)]])</f>
        <v>113614902.17854957</v>
      </c>
      <c r="P14" s="112"/>
    </row>
    <row r="15" spans="1:16" s="45" customFormat="1">
      <c r="A15" s="239">
        <v>50</v>
      </c>
      <c r="B15" s="239" t="s">
        <v>22</v>
      </c>
      <c r="C15" s="326">
        <v>-11072.16</v>
      </c>
      <c r="D15" s="121">
        <v>-20019.36</v>
      </c>
      <c r="E15" s="121">
        <v>-11072.16</v>
      </c>
      <c r="F15" s="121">
        <v>-111.84</v>
      </c>
      <c r="G15" s="121">
        <v>-274790.88</v>
      </c>
      <c r="H15" s="121">
        <v>-218322.13</v>
      </c>
      <c r="I15" s="121">
        <v>-903367.0680322363</v>
      </c>
      <c r="J15" s="34">
        <v>-340195.69358081213</v>
      </c>
      <c r="K15" s="34">
        <v>-340046.40509713726</v>
      </c>
      <c r="L15" s="34">
        <v>-128429.24581622051</v>
      </c>
      <c r="M15" s="486">
        <v>295813.22828237887</v>
      </c>
      <c r="N15" s="486">
        <v>-118679.59969904658</v>
      </c>
      <c r="O15" s="251">
        <f>SUM(LisäyksetVähennykset[[#This Row],[Kuntien yhdistymisavustus (-0,99 €/as)]:[TE25: Uudistuksen rahoituksen siirtymäajan porrastus (50 % kustannusperusteinen / 50 % vos-kriteerit)]])</f>
        <v>-2070293.3139430736</v>
      </c>
      <c r="P15" s="112"/>
    </row>
    <row r="16" spans="1:16" s="104" customFormat="1">
      <c r="A16" s="239">
        <v>51</v>
      </c>
      <c r="B16" s="239" t="s">
        <v>23</v>
      </c>
      <c r="C16" s="326">
        <v>-9051.57</v>
      </c>
      <c r="D16" s="121">
        <v>-16365.970000000001</v>
      </c>
      <c r="E16" s="121">
        <v>-9051.57</v>
      </c>
      <c r="F16" s="121">
        <v>-91.43</v>
      </c>
      <c r="G16" s="121">
        <v>-224643.51</v>
      </c>
      <c r="H16" s="121">
        <v>-157020</v>
      </c>
      <c r="I16" s="121">
        <v>-4095494.1901258212</v>
      </c>
      <c r="J16" s="121">
        <v>-4344271.9282233026</v>
      </c>
      <c r="K16" s="121">
        <v>-277772.91923995485</v>
      </c>
      <c r="L16" s="121">
        <v>-104991.82711889343</v>
      </c>
      <c r="M16" s="487">
        <v>263763.15918738878</v>
      </c>
      <c r="N16" s="487">
        <v>-70428.717094046355</v>
      </c>
      <c r="O16" s="251">
        <f>SUM(LisäyksetVähennykset[[#This Row],[Kuntien yhdistymisavustus (-0,99 €/as)]:[TE25: Uudistuksen rahoituksen siirtymäajan porrastus (50 % kustannusperusteinen / 50 % vos-kriteerit)]])</f>
        <v>-9045420.4726146311</v>
      </c>
      <c r="P16" s="60"/>
    </row>
    <row r="17" spans="1:16" s="45" customFormat="1">
      <c r="A17" s="239">
        <v>52</v>
      </c>
      <c r="B17" s="239" t="s">
        <v>24</v>
      </c>
      <c r="C17" s="326">
        <v>-2269.08</v>
      </c>
      <c r="D17" s="121">
        <v>-4102.68</v>
      </c>
      <c r="E17" s="121">
        <v>-2269.08</v>
      </c>
      <c r="F17" s="121">
        <v>-22.92</v>
      </c>
      <c r="G17" s="121">
        <v>-56314.44</v>
      </c>
      <c r="H17" s="121">
        <v>-25229.07</v>
      </c>
      <c r="I17" s="121">
        <v>435594.01967066969</v>
      </c>
      <c r="J17" s="34">
        <v>106534.99012610584</v>
      </c>
      <c r="K17" s="34">
        <v>-70747.504998038654</v>
      </c>
      <c r="L17" s="34">
        <v>-26319.727415126737</v>
      </c>
      <c r="M17" s="486">
        <v>65695.45264651801</v>
      </c>
      <c r="N17" s="486">
        <v>-19783.88923101913</v>
      </c>
      <c r="O17" s="251">
        <f>SUM(LisäyksetVähennykset[[#This Row],[Kuntien yhdistymisavustus (-0,99 €/as)]:[TE25: Uudistuksen rahoituksen siirtymäajan porrastus (50 % kustannusperusteinen / 50 % vos-kriteerit)]])</f>
        <v>400766.070799109</v>
      </c>
      <c r="P17" s="112"/>
    </row>
    <row r="18" spans="1:16" s="45" customFormat="1">
      <c r="A18" s="239">
        <v>61</v>
      </c>
      <c r="B18" s="239" t="s">
        <v>25</v>
      </c>
      <c r="C18" s="326">
        <v>-16304.31</v>
      </c>
      <c r="D18" s="121">
        <v>-29479.510000000002</v>
      </c>
      <c r="E18" s="121">
        <v>-16304.31</v>
      </c>
      <c r="F18" s="121">
        <v>-164.69</v>
      </c>
      <c r="G18" s="121">
        <v>-404643.33</v>
      </c>
      <c r="H18" s="121">
        <v>-1148842.6000000001</v>
      </c>
      <c r="I18" s="121">
        <v>677835.01980745117</v>
      </c>
      <c r="J18" s="34">
        <v>950764.82257562422</v>
      </c>
      <c r="K18" s="34">
        <v>-496348.33110090299</v>
      </c>
      <c r="L18" s="34">
        <v>-189118.49511331684</v>
      </c>
      <c r="M18" s="486">
        <v>1310691.9463011723</v>
      </c>
      <c r="N18" s="486">
        <v>150310.17018009326</v>
      </c>
      <c r="O18" s="251">
        <f>SUM(LisäyksetVähennykset[[#This Row],[Kuntien yhdistymisavustus (-0,99 €/as)]:[TE25: Uudistuksen rahoituksen siirtymäajan porrastus (50 % kustannusperusteinen / 50 % vos-kriteerit)]])</f>
        <v>788396.38265012112</v>
      </c>
      <c r="P18" s="112"/>
    </row>
    <row r="19" spans="1:16" s="45" customFormat="1">
      <c r="A19" s="239">
        <v>69</v>
      </c>
      <c r="B19" s="239" t="s">
        <v>26</v>
      </c>
      <c r="C19" s="326">
        <v>-6492.42</v>
      </c>
      <c r="D19" s="121">
        <v>-11738.82</v>
      </c>
      <c r="E19" s="121">
        <v>-6492.42</v>
      </c>
      <c r="F19" s="121">
        <v>-65.58</v>
      </c>
      <c r="G19" s="121">
        <v>-161130.06</v>
      </c>
      <c r="H19" s="121">
        <v>-206727.23</v>
      </c>
      <c r="I19" s="121">
        <v>-1820380.5706583743</v>
      </c>
      <c r="J19" s="34">
        <v>-1778944.0243800308</v>
      </c>
      <c r="K19" s="34">
        <v>-201657.53023098232</v>
      </c>
      <c r="L19" s="34">
        <v>-75307.492316056348</v>
      </c>
      <c r="M19" s="486">
        <v>225377.20761484338</v>
      </c>
      <c r="N19" s="486">
        <v>-66082.529669029755</v>
      </c>
      <c r="O19" s="251">
        <f>SUM(LisäyksetVähennykset[[#This Row],[Kuntien yhdistymisavustus (-0,99 €/as)]:[TE25: Uudistuksen rahoituksen siirtymäajan porrastus (50 % kustannusperusteinen / 50 % vos-kriteerit)]])</f>
        <v>-4109641.4696396296</v>
      </c>
      <c r="P19" s="112"/>
    </row>
    <row r="20" spans="1:16" s="45" customFormat="1">
      <c r="A20" s="239">
        <v>71</v>
      </c>
      <c r="B20" s="239" t="s">
        <v>27</v>
      </c>
      <c r="C20" s="326">
        <v>-6408.2699999999995</v>
      </c>
      <c r="D20" s="121">
        <v>-11586.67</v>
      </c>
      <c r="E20" s="121">
        <v>-6408.2699999999995</v>
      </c>
      <c r="F20" s="121">
        <v>-64.73</v>
      </c>
      <c r="G20" s="121">
        <v>-159041.61000000002</v>
      </c>
      <c r="H20" s="121">
        <v>-167948.19</v>
      </c>
      <c r="I20" s="121">
        <v>-307620.71360068896</v>
      </c>
      <c r="J20" s="34">
        <v>-699113.42606051883</v>
      </c>
      <c r="K20" s="34">
        <v>-198762.49166328763</v>
      </c>
      <c r="L20" s="34">
        <v>-74331.411674570409</v>
      </c>
      <c r="M20" s="486">
        <v>216053.06066545047</v>
      </c>
      <c r="N20" s="486">
        <v>-42970.997585344303</v>
      </c>
      <c r="O20" s="251">
        <f>SUM(LisäyksetVähennykset[[#This Row],[Kuntien yhdistymisavustus (-0,99 €/as)]:[TE25: Uudistuksen rahoituksen siirtymäajan porrastus (50 % kustannusperusteinen / 50 % vos-kriteerit)]])</f>
        <v>-1458203.7199189595</v>
      </c>
      <c r="P20" s="112"/>
    </row>
    <row r="21" spans="1:16" s="45" customFormat="1">
      <c r="A21" s="239">
        <v>72</v>
      </c>
      <c r="B21" s="239" t="s">
        <v>28</v>
      </c>
      <c r="C21" s="326">
        <v>-938.52</v>
      </c>
      <c r="D21" s="121">
        <v>-1696.92</v>
      </c>
      <c r="E21" s="121">
        <v>-938.52</v>
      </c>
      <c r="F21" s="121">
        <v>-9.48</v>
      </c>
      <c r="G21" s="121">
        <v>-23292.36</v>
      </c>
      <c r="H21" s="121">
        <v>-15582.13</v>
      </c>
      <c r="I21" s="121">
        <v>-171773.41307830706</v>
      </c>
      <c r="J21" s="34">
        <v>-59477.701386347093</v>
      </c>
      <c r="K21" s="34">
        <v>-28950.385676946767</v>
      </c>
      <c r="L21" s="34">
        <v>-10886.169977984357</v>
      </c>
      <c r="M21" s="486">
        <v>38544.153724807999</v>
      </c>
      <c r="N21" s="486">
        <v>7344.5991823823715</v>
      </c>
      <c r="O21" s="251">
        <f>SUM(LisäyksetVähennykset[[#This Row],[Kuntien yhdistymisavustus (-0,99 €/as)]:[TE25: Uudistuksen rahoituksen siirtymäajan porrastus (50 % kustannusperusteinen / 50 % vos-kriteerit)]])</f>
        <v>-267656.84721239493</v>
      </c>
      <c r="P21" s="112"/>
    </row>
    <row r="22" spans="1:16" s="45" customFormat="1">
      <c r="A22" s="239">
        <v>74</v>
      </c>
      <c r="B22" s="239" t="s">
        <v>29</v>
      </c>
      <c r="C22" s="326">
        <v>-1002.87</v>
      </c>
      <c r="D22" s="121">
        <v>-1813.27</v>
      </c>
      <c r="E22" s="121">
        <v>-1002.87</v>
      </c>
      <c r="F22" s="121">
        <v>-10.130000000000001</v>
      </c>
      <c r="G22" s="121">
        <v>-24889.41</v>
      </c>
      <c r="H22" s="121">
        <v>-21036.38</v>
      </c>
      <c r="I22" s="121">
        <v>202125.60453249869</v>
      </c>
      <c r="J22" s="34">
        <v>41020.638693403329</v>
      </c>
      <c r="K22" s="34">
        <v>-31724.797637654163</v>
      </c>
      <c r="L22" s="34">
        <v>-11632.584586179486</v>
      </c>
      <c r="M22" s="486">
        <v>13527.519571801931</v>
      </c>
      <c r="N22" s="486">
        <v>-12925.675287358172</v>
      </c>
      <c r="O22" s="251">
        <f>SUM(LisäyksetVähennykset[[#This Row],[Kuntien yhdistymisavustus (-0,99 €/as)]:[TE25: Uudistuksen rahoituksen siirtymäajan porrastus (50 % kustannusperusteinen / 50 % vos-kriteerit)]])</f>
        <v>150635.77528651213</v>
      </c>
      <c r="P22" s="112"/>
    </row>
    <row r="23" spans="1:16" s="45" customFormat="1">
      <c r="A23" s="239">
        <v>75</v>
      </c>
      <c r="B23" s="239" t="s">
        <v>30</v>
      </c>
      <c r="C23" s="326">
        <v>-19338.66</v>
      </c>
      <c r="D23" s="121">
        <v>-34965.86</v>
      </c>
      <c r="E23" s="121">
        <v>-19338.66</v>
      </c>
      <c r="F23" s="121">
        <v>-195.34</v>
      </c>
      <c r="G23" s="121">
        <v>-479950.38</v>
      </c>
      <c r="H23" s="121">
        <v>-747336.12</v>
      </c>
      <c r="I23" s="121">
        <v>-4038028.9144222634</v>
      </c>
      <c r="J23" s="34">
        <v>-572697.14947522455</v>
      </c>
      <c r="K23" s="34">
        <v>-589532.38499857532</v>
      </c>
      <c r="L23" s="34">
        <v>-224314.81471513337</v>
      </c>
      <c r="M23" s="486">
        <v>898453.91864475072</v>
      </c>
      <c r="N23" s="486">
        <v>442065.64157045842</v>
      </c>
      <c r="O23" s="251">
        <f>SUM(LisäyksetVähennykset[[#This Row],[Kuntien yhdistymisavustus (-0,99 €/as)]:[TE25: Uudistuksen rahoituksen siirtymäajan porrastus (50 % kustannusperusteinen / 50 % vos-kriteerit)]])</f>
        <v>-5385178.7233959874</v>
      </c>
      <c r="P23" s="112"/>
    </row>
    <row r="24" spans="1:16" s="45" customFormat="1">
      <c r="A24" s="239">
        <v>77</v>
      </c>
      <c r="B24" s="239" t="s">
        <v>31</v>
      </c>
      <c r="C24" s="326">
        <v>-4503.51</v>
      </c>
      <c r="D24" s="121">
        <v>-8142.71</v>
      </c>
      <c r="E24" s="121">
        <v>-4503.51</v>
      </c>
      <c r="F24" s="121">
        <v>-45.49</v>
      </c>
      <c r="G24" s="121">
        <v>-111768.93000000001</v>
      </c>
      <c r="H24" s="121">
        <v>-142477.18</v>
      </c>
      <c r="I24" s="121">
        <v>-412512.11004750372</v>
      </c>
      <c r="J24" s="34">
        <v>-165329.24881415823</v>
      </c>
      <c r="K24" s="34">
        <v>-138750.75468711674</v>
      </c>
      <c r="L24" s="34">
        <v>-52237.539271994559</v>
      </c>
      <c r="M24" s="486">
        <v>207058.29587333102</v>
      </c>
      <c r="N24" s="486">
        <v>72675.510709572292</v>
      </c>
      <c r="O24" s="251">
        <f>SUM(LisäyksetVähennykset[[#This Row],[Kuntien yhdistymisavustus (-0,99 €/as)]:[TE25: Uudistuksen rahoituksen siirtymäajan porrastus (50 % kustannusperusteinen / 50 % vos-kriteerit)]])</f>
        <v>-760537.17623787001</v>
      </c>
      <c r="P24" s="112"/>
    </row>
    <row r="25" spans="1:16" s="45" customFormat="1">
      <c r="A25" s="239">
        <v>78</v>
      </c>
      <c r="B25" s="239" t="s">
        <v>32</v>
      </c>
      <c r="C25" s="326">
        <v>-7643.79</v>
      </c>
      <c r="D25" s="121">
        <v>-13820.59</v>
      </c>
      <c r="E25" s="121">
        <v>-7643.79</v>
      </c>
      <c r="F25" s="121">
        <v>-77.210000000000008</v>
      </c>
      <c r="G25" s="121">
        <v>-189704.97</v>
      </c>
      <c r="H25" s="121">
        <v>-341540.22</v>
      </c>
      <c r="I25" s="121">
        <v>-2270991.3412674079</v>
      </c>
      <c r="J25" s="34">
        <v>-650076.84504222311</v>
      </c>
      <c r="K25" s="34">
        <v>-236186.89648109069</v>
      </c>
      <c r="L25" s="34">
        <v>-88662.572151916902</v>
      </c>
      <c r="M25" s="486">
        <v>329720.40269825689</v>
      </c>
      <c r="N25" s="486">
        <v>-13845.568483809475</v>
      </c>
      <c r="O25" s="251">
        <f>SUM(LisäyksetVähennykset[[#This Row],[Kuntien yhdistymisavustus (-0,99 €/as)]:[TE25: Uudistuksen rahoituksen siirtymäajan porrastus (50 % kustannusperusteinen / 50 % vos-kriteerit)]])</f>
        <v>-3490473.390728191</v>
      </c>
      <c r="P25" s="112"/>
    </row>
    <row r="26" spans="1:16" s="45" customFormat="1">
      <c r="A26" s="239">
        <v>79</v>
      </c>
      <c r="B26" s="239" t="s">
        <v>33</v>
      </c>
      <c r="C26" s="326">
        <v>-6635.97</v>
      </c>
      <c r="D26" s="121">
        <v>-11998.37</v>
      </c>
      <c r="E26" s="121">
        <v>-6635.97</v>
      </c>
      <c r="F26" s="121">
        <v>-67.03</v>
      </c>
      <c r="G26" s="121">
        <v>-164692.71</v>
      </c>
      <c r="H26" s="121">
        <v>-358109.13</v>
      </c>
      <c r="I26" s="121">
        <v>-1054631.7543034423</v>
      </c>
      <c r="J26" s="34">
        <v>-798600.5593446861</v>
      </c>
      <c r="K26" s="34">
        <v>-203647.8692462724</v>
      </c>
      <c r="L26" s="34">
        <v>-76972.571057414709</v>
      </c>
      <c r="M26" s="486">
        <v>405339.7434121992</v>
      </c>
      <c r="N26" s="486">
        <v>-221.78986379300477</v>
      </c>
      <c r="O26" s="251">
        <f>SUM(LisäyksetVähennykset[[#This Row],[Kuntien yhdistymisavustus (-0,99 €/as)]:[TE25: Uudistuksen rahoituksen siirtymäajan porrastus (50 % kustannusperusteinen / 50 % vos-kriteerit)]])</f>
        <v>-2276873.9804034093</v>
      </c>
      <c r="P26" s="112"/>
    </row>
    <row r="27" spans="1:16" s="45" customFormat="1">
      <c r="A27" s="239">
        <v>81</v>
      </c>
      <c r="B27" s="239" t="s">
        <v>34</v>
      </c>
      <c r="C27" s="326">
        <v>-2505.69</v>
      </c>
      <c r="D27" s="121">
        <v>-4530.49</v>
      </c>
      <c r="E27" s="121">
        <v>-2505.69</v>
      </c>
      <c r="F27" s="121">
        <v>-25.310000000000002</v>
      </c>
      <c r="G27" s="121">
        <v>-62186.67</v>
      </c>
      <c r="H27" s="121">
        <v>-84698.85</v>
      </c>
      <c r="I27" s="121">
        <v>-141115.39342428811</v>
      </c>
      <c r="J27" s="34">
        <v>30772.881896169314</v>
      </c>
      <c r="K27" s="34">
        <v>-77623.22159631351</v>
      </c>
      <c r="L27" s="34">
        <v>-29064.236512951906</v>
      </c>
      <c r="M27" s="486">
        <v>118360.59974001625</v>
      </c>
      <c r="N27" s="486">
        <v>75895.466684316663</v>
      </c>
      <c r="O27" s="251">
        <f>SUM(LisäyksetVähennykset[[#This Row],[Kuntien yhdistymisavustus (-0,99 €/as)]:[TE25: Uudistuksen rahoituksen siirtymäajan porrastus (50 % kustannusperusteinen / 50 % vos-kriteerit)]])</f>
        <v>-179226.60321305128</v>
      </c>
      <c r="P27" s="112"/>
    </row>
    <row r="28" spans="1:16" s="45" customFormat="1">
      <c r="A28" s="239">
        <v>82</v>
      </c>
      <c r="B28" s="239" t="s">
        <v>35</v>
      </c>
      <c r="C28" s="326">
        <v>-9277.2899999999991</v>
      </c>
      <c r="D28" s="121">
        <v>-16774.09</v>
      </c>
      <c r="E28" s="121">
        <v>-9277.2899999999991</v>
      </c>
      <c r="F28" s="121">
        <v>-93.710000000000008</v>
      </c>
      <c r="G28" s="121">
        <v>-230245.47</v>
      </c>
      <c r="H28" s="121">
        <v>-183331.41</v>
      </c>
      <c r="I28" s="121">
        <v>697757.29983756738</v>
      </c>
      <c r="J28" s="34">
        <v>-11786.184460950217</v>
      </c>
      <c r="K28" s="34">
        <v>-282236.10369848419</v>
      </c>
      <c r="L28" s="34">
        <v>-107610.01989840866</v>
      </c>
      <c r="M28" s="486">
        <v>235899.34011272225</v>
      </c>
      <c r="N28" s="486">
        <v>-71404.3748422176</v>
      </c>
      <c r="O28" s="251">
        <f>SUM(LisäyksetVähennykset[[#This Row],[Kuntien yhdistymisavustus (-0,99 €/as)]:[TE25: Uudistuksen rahoituksen siirtymäajan porrastus (50 % kustannusperusteinen / 50 % vos-kriteerit)]])</f>
        <v>11620.697050228948</v>
      </c>
      <c r="P28" s="112"/>
    </row>
    <row r="29" spans="1:16" s="45" customFormat="1">
      <c r="A29" s="239">
        <v>86</v>
      </c>
      <c r="B29" s="239" t="s">
        <v>36</v>
      </c>
      <c r="C29" s="326">
        <v>-7918.0199999999995</v>
      </c>
      <c r="D29" s="121">
        <v>-14316.42</v>
      </c>
      <c r="E29" s="121">
        <v>-7918.0199999999995</v>
      </c>
      <c r="F29" s="121">
        <v>-79.98</v>
      </c>
      <c r="G29" s="121">
        <v>-196510.86000000002</v>
      </c>
      <c r="H29" s="121">
        <v>-235652.86</v>
      </c>
      <c r="I29" s="121">
        <v>-403370.21416986221</v>
      </c>
      <c r="J29" s="34">
        <v>-291007.83766747534</v>
      </c>
      <c r="K29" s="34">
        <v>-242188.0701787078</v>
      </c>
      <c r="L29" s="34">
        <v>-91843.446712994599</v>
      </c>
      <c r="M29" s="486">
        <v>429084.17827694298</v>
      </c>
      <c r="N29" s="486">
        <v>-53447.280258640123</v>
      </c>
      <c r="O29" s="251">
        <f>SUM(LisäyksetVähennykset[[#This Row],[Kuntien yhdistymisavustus (-0,99 €/as)]:[TE25: Uudistuksen rahoituksen siirtymäajan porrastus (50 % kustannusperusteinen / 50 % vos-kriteerit)]])</f>
        <v>-1115168.830710737</v>
      </c>
      <c r="P29" s="112"/>
    </row>
    <row r="30" spans="1:16" s="45" customFormat="1">
      <c r="A30" s="239">
        <v>90</v>
      </c>
      <c r="B30" s="239" t="s">
        <v>37</v>
      </c>
      <c r="C30" s="326">
        <v>-2970.99</v>
      </c>
      <c r="D30" s="121">
        <v>-5371.79</v>
      </c>
      <c r="E30" s="121">
        <v>-2970.99</v>
      </c>
      <c r="F30" s="121">
        <v>-30.01</v>
      </c>
      <c r="G30" s="121">
        <v>-73734.570000000007</v>
      </c>
      <c r="H30" s="121">
        <v>-105493.43</v>
      </c>
      <c r="I30" s="121">
        <v>-486058.51399567164</v>
      </c>
      <c r="J30" s="34">
        <v>-990718.53778401611</v>
      </c>
      <c r="K30" s="34">
        <v>-92309.510997014644</v>
      </c>
      <c r="L30" s="34">
        <v>-34461.38829528592</v>
      </c>
      <c r="M30" s="486">
        <v>157682.6419541467</v>
      </c>
      <c r="N30" s="486">
        <v>72655.213371665915</v>
      </c>
      <c r="O30" s="251">
        <f>SUM(LisäyksetVähennykset[[#This Row],[Kuntien yhdistymisavustus (-0,99 €/as)]:[TE25: Uudistuksen rahoituksen siirtymäajan porrastus (50 % kustannusperusteinen / 50 % vos-kriteerit)]])</f>
        <v>-1563781.8757461754</v>
      </c>
      <c r="P30" s="112"/>
    </row>
    <row r="31" spans="1:16" s="45" customFormat="1">
      <c r="A31" s="239">
        <v>91</v>
      </c>
      <c r="B31" s="239" t="s">
        <v>38</v>
      </c>
      <c r="C31" s="326">
        <v>-667755</v>
      </c>
      <c r="D31" s="121">
        <v>-1207355</v>
      </c>
      <c r="E31" s="121">
        <v>-667755</v>
      </c>
      <c r="F31" s="121">
        <v>-6745</v>
      </c>
      <c r="G31" s="121">
        <v>-16572465</v>
      </c>
      <c r="H31" s="121">
        <v>-62826123.759999998</v>
      </c>
      <c r="I31" s="121">
        <v>54989247.892376915</v>
      </c>
      <c r="J31" s="34">
        <v>-19802237.808802899</v>
      </c>
      <c r="K31" s="34">
        <v>-20024861.146137092</v>
      </c>
      <c r="L31" s="34">
        <v>-7745486.9727325412</v>
      </c>
      <c r="M31" s="486">
        <v>17349434.160264015</v>
      </c>
      <c r="N31" s="486">
        <v>-4804924.4290035442</v>
      </c>
      <c r="O31" s="251">
        <f>SUM(LisäyksetVähennykset[[#This Row],[Kuntien yhdistymisavustus (-0,99 €/as)]:[TE25: Uudistuksen rahoituksen siirtymäajan porrastus (50 % kustannusperusteinen / 50 % vos-kriteerit)]])</f>
        <v>-61987027.06403514</v>
      </c>
      <c r="P31" s="112"/>
    </row>
    <row r="32" spans="1:16" s="45" customFormat="1">
      <c r="A32" s="239">
        <v>92</v>
      </c>
      <c r="B32" s="239" t="s">
        <v>39</v>
      </c>
      <c r="C32" s="326">
        <v>-244968.57</v>
      </c>
      <c r="D32" s="121">
        <v>-442922.97000000003</v>
      </c>
      <c r="E32" s="121">
        <v>-244968.57</v>
      </c>
      <c r="F32" s="121">
        <v>-2474.4299999999998</v>
      </c>
      <c r="G32" s="121">
        <v>-6079674.5099999998</v>
      </c>
      <c r="H32" s="121">
        <v>-27825503.23</v>
      </c>
      <c r="I32" s="121">
        <v>-26495977.554631557</v>
      </c>
      <c r="J32" s="34">
        <v>-482833.24526264297</v>
      </c>
      <c r="K32" s="34">
        <v>-7322608.0205109762</v>
      </c>
      <c r="L32" s="34">
        <v>-2841462.6137788855</v>
      </c>
      <c r="M32" s="486">
        <v>10165974.187999807</v>
      </c>
      <c r="N32" s="486">
        <v>-4482868.5388910938</v>
      </c>
      <c r="O32" s="251">
        <f>SUM(LisäyksetVähennykset[[#This Row],[Kuntien yhdistymisavustus (-0,99 €/as)]:[TE25: Uudistuksen rahoituksen siirtymäajan porrastus (50 % kustannusperusteinen / 50 % vos-kriteerit)]])</f>
        <v>-66300288.06507536</v>
      </c>
      <c r="P32" s="112"/>
    </row>
    <row r="33" spans="1:16" s="45" customFormat="1">
      <c r="A33" s="239">
        <v>97</v>
      </c>
      <c r="B33" s="239" t="s">
        <v>40</v>
      </c>
      <c r="C33" s="326">
        <v>-2041.3799999999999</v>
      </c>
      <c r="D33" s="121">
        <v>-3690.98</v>
      </c>
      <c r="E33" s="121">
        <v>-2041.3799999999999</v>
      </c>
      <c r="F33" s="121">
        <v>-20.62</v>
      </c>
      <c r="G33" s="121">
        <v>-50663.340000000004</v>
      </c>
      <c r="H33" s="121">
        <v>-89506.3</v>
      </c>
      <c r="I33" s="121">
        <v>-405753.15873340226</v>
      </c>
      <c r="J33" s="34">
        <v>135591.83184373897</v>
      </c>
      <c r="K33" s="34">
        <v>-63057.558802599677</v>
      </c>
      <c r="L33" s="34">
        <v>-23678.56803228243</v>
      </c>
      <c r="M33" s="486">
        <v>71137.816863066037</v>
      </c>
      <c r="N33" s="486">
        <v>12731.579135709369</v>
      </c>
      <c r="O33" s="251">
        <f>SUM(LisäyksetVähennykset[[#This Row],[Kuntien yhdistymisavustus (-0,99 €/as)]:[TE25: Uudistuksen rahoituksen siirtymäajan porrastus (50 % kustannusperusteinen / 50 % vos-kriteerit)]])</f>
        <v>-420992.05772576993</v>
      </c>
      <c r="P33" s="112"/>
    </row>
    <row r="34" spans="1:16" s="104" customFormat="1">
      <c r="A34" s="237">
        <v>98</v>
      </c>
      <c r="B34" s="239" t="s">
        <v>41</v>
      </c>
      <c r="C34" s="326">
        <v>-22656.15</v>
      </c>
      <c r="D34" s="121">
        <v>-40964.15</v>
      </c>
      <c r="E34" s="121">
        <v>-22656.15</v>
      </c>
      <c r="F34" s="121">
        <v>-228.85</v>
      </c>
      <c r="G34" s="121">
        <v>-562284.44999999995</v>
      </c>
      <c r="H34" s="121">
        <v>-833832.43</v>
      </c>
      <c r="I34" s="121">
        <v>4492276.8841181984</v>
      </c>
      <c r="J34" s="121">
        <v>2293492.9312953078</v>
      </c>
      <c r="K34" s="121">
        <v>-691884.06102728087</v>
      </c>
      <c r="L34" s="121">
        <v>-262795.35859300842</v>
      </c>
      <c r="M34" s="487">
        <v>721277.40261503099</v>
      </c>
      <c r="N34" s="487">
        <v>283757.45852192258</v>
      </c>
      <c r="O34" s="251">
        <f>SUM(LisäyksetVähennykset[[#This Row],[Kuntien yhdistymisavustus (-0,99 €/as)]:[TE25: Uudistuksen rahoituksen siirtymäajan porrastus (50 % kustannusperusteinen / 50 % vos-kriteerit)]])</f>
        <v>5353503.0769301709</v>
      </c>
      <c r="P34" s="60"/>
    </row>
    <row r="35" spans="1:16" s="45" customFormat="1">
      <c r="A35" s="239">
        <v>102</v>
      </c>
      <c r="B35" s="239" t="s">
        <v>42</v>
      </c>
      <c r="C35" s="326">
        <v>-9549.5399999999991</v>
      </c>
      <c r="D35" s="121">
        <v>-17266.34</v>
      </c>
      <c r="E35" s="121">
        <v>-9549.5399999999991</v>
      </c>
      <c r="F35" s="121">
        <v>-96.460000000000008</v>
      </c>
      <c r="G35" s="121">
        <v>-237002.22</v>
      </c>
      <c r="H35" s="121">
        <v>-235171.44</v>
      </c>
      <c r="I35" s="121">
        <v>308957.92017051665</v>
      </c>
      <c r="J35" s="34">
        <v>-19377.437412576677</v>
      </c>
      <c r="K35" s="34">
        <v>-293876.5712727565</v>
      </c>
      <c r="L35" s="34">
        <v>-110767.92785615729</v>
      </c>
      <c r="M35" s="486">
        <v>541626.13667940395</v>
      </c>
      <c r="N35" s="486">
        <v>12290.254221936862</v>
      </c>
      <c r="O35" s="251">
        <f>SUM(LisäyksetVähennykset[[#This Row],[Kuntien yhdistymisavustus (-0,99 €/as)]:[TE25: Uudistuksen rahoituksen siirtymäajan porrastus (50 % kustannusperusteinen / 50 % vos-kriteerit)]])</f>
        <v>-69783.165469633008</v>
      </c>
      <c r="P35" s="112"/>
    </row>
    <row r="36" spans="1:16" s="45" customFormat="1">
      <c r="A36" s="239">
        <v>103</v>
      </c>
      <c r="B36" s="239" t="s">
        <v>43</v>
      </c>
      <c r="C36" s="326">
        <v>-2103.75</v>
      </c>
      <c r="D36" s="121">
        <v>-3803.75</v>
      </c>
      <c r="E36" s="121">
        <v>-2103.75</v>
      </c>
      <c r="F36" s="121">
        <v>-21.25</v>
      </c>
      <c r="G36" s="121">
        <v>-52211.25</v>
      </c>
      <c r="H36" s="121">
        <v>-74615.37</v>
      </c>
      <c r="I36" s="121">
        <v>141807.7407460612</v>
      </c>
      <c r="J36" s="34">
        <v>2311.7822683474847</v>
      </c>
      <c r="K36" s="34">
        <v>-65168.524424877047</v>
      </c>
      <c r="L36" s="34">
        <v>-24402.016037148478</v>
      </c>
      <c r="M36" s="486">
        <v>120371.25168263924</v>
      </c>
      <c r="N36" s="486">
        <v>-24680.617592099064</v>
      </c>
      <c r="O36" s="251">
        <f>SUM(LisäyksetVähennykset[[#This Row],[Kuntien yhdistymisavustus (-0,99 €/as)]:[TE25: Uudistuksen rahoituksen siirtymäajan porrastus (50 % kustannusperusteinen / 50 % vos-kriteerit)]])</f>
        <v>15380.496642923332</v>
      </c>
      <c r="P36" s="112"/>
    </row>
    <row r="37" spans="1:16" s="45" customFormat="1">
      <c r="A37" s="239">
        <v>105</v>
      </c>
      <c r="B37" s="239" t="s">
        <v>44</v>
      </c>
      <c r="C37" s="326">
        <v>-2042.37</v>
      </c>
      <c r="D37" s="121">
        <v>-3692.77</v>
      </c>
      <c r="E37" s="121">
        <v>-2042.37</v>
      </c>
      <c r="F37" s="121">
        <v>-20.63</v>
      </c>
      <c r="G37" s="121">
        <v>-50687.91</v>
      </c>
      <c r="H37" s="121">
        <v>-52308.57</v>
      </c>
      <c r="I37" s="121">
        <v>416160.65175119706</v>
      </c>
      <c r="J37" s="34">
        <v>328316.64948619768</v>
      </c>
      <c r="K37" s="34">
        <v>-63148.028757840133</v>
      </c>
      <c r="L37" s="34">
        <v>-23690.051333946969</v>
      </c>
      <c r="M37" s="486">
        <v>112731.41746281052</v>
      </c>
      <c r="N37" s="486">
        <v>27245.834442993</v>
      </c>
      <c r="O37" s="251">
        <f>SUM(LisäyksetVähennykset[[#This Row],[Kuntien yhdistymisavustus (-0,99 €/as)]:[TE25: Uudistuksen rahoituksen siirtymäajan porrastus (50 % kustannusperusteinen / 50 % vos-kriteerit)]])</f>
        <v>686821.8530514111</v>
      </c>
      <c r="P37" s="112"/>
    </row>
    <row r="38" spans="1:16" s="45" customFormat="1">
      <c r="A38" s="239">
        <v>106</v>
      </c>
      <c r="B38" s="239" t="s">
        <v>45</v>
      </c>
      <c r="C38" s="326">
        <v>-46431.99</v>
      </c>
      <c r="D38" s="121">
        <v>-83952.790000000008</v>
      </c>
      <c r="E38" s="121">
        <v>-46431.99</v>
      </c>
      <c r="F38" s="121">
        <v>-469.01</v>
      </c>
      <c r="G38" s="121">
        <v>-1152357.57</v>
      </c>
      <c r="H38" s="121">
        <v>-3224298.72</v>
      </c>
      <c r="I38" s="121">
        <v>-1352548.0755950077</v>
      </c>
      <c r="J38" s="34">
        <v>-93053.457013478779</v>
      </c>
      <c r="K38" s="34">
        <v>-1411240.8317959143</v>
      </c>
      <c r="L38" s="34">
        <v>-538578.33136861213</v>
      </c>
      <c r="M38" s="486">
        <v>2167594.440275576</v>
      </c>
      <c r="N38" s="486">
        <v>-427051.12626392813</v>
      </c>
      <c r="O38" s="251">
        <f>SUM(LisäyksetVähennykset[[#This Row],[Kuntien yhdistymisavustus (-0,99 €/as)]:[TE25: Uudistuksen rahoituksen siirtymäajan porrastus (50 % kustannusperusteinen / 50 % vos-kriteerit)]])</f>
        <v>-6208819.4517613649</v>
      </c>
      <c r="P38" s="112"/>
    </row>
    <row r="39" spans="1:16" s="45" customFormat="1">
      <c r="A39" s="239">
        <v>108</v>
      </c>
      <c r="B39" s="239" t="s">
        <v>46</v>
      </c>
      <c r="C39" s="326">
        <v>-10215.81</v>
      </c>
      <c r="D39" s="121">
        <v>-18471.010000000002</v>
      </c>
      <c r="E39" s="121">
        <v>-10215.81</v>
      </c>
      <c r="F39" s="121">
        <v>-103.19</v>
      </c>
      <c r="G39" s="121">
        <v>-253537.83000000002</v>
      </c>
      <c r="H39" s="121">
        <v>-351507.7</v>
      </c>
      <c r="I39" s="121">
        <v>873324.66636347084</v>
      </c>
      <c r="J39" s="34">
        <v>-20395.523400800303</v>
      </c>
      <c r="K39" s="34">
        <v>-309316.7769671281</v>
      </c>
      <c r="L39" s="34">
        <v>-118496.18987639302</v>
      </c>
      <c r="M39" s="486">
        <v>386967.165501957</v>
      </c>
      <c r="N39" s="486">
        <v>-51365.328645543486</v>
      </c>
      <c r="O39" s="251">
        <f>SUM(LisäyksetVähennykset[[#This Row],[Kuntien yhdistymisavustus (-0,99 €/as)]:[TE25: Uudistuksen rahoituksen siirtymäajan porrastus (50 % kustannusperusteinen / 50 % vos-kriteerit)]])</f>
        <v>116666.66297556285</v>
      </c>
      <c r="P39" s="112"/>
    </row>
    <row r="40" spans="1:16" s="45" customFormat="1">
      <c r="A40" s="239">
        <v>109</v>
      </c>
      <c r="B40" s="239" t="s">
        <v>47</v>
      </c>
      <c r="C40" s="326">
        <v>-67635.81</v>
      </c>
      <c r="D40" s="121">
        <v>-122291.01000000001</v>
      </c>
      <c r="E40" s="121">
        <v>-67635.81</v>
      </c>
      <c r="F40" s="121">
        <v>-683.19</v>
      </c>
      <c r="G40" s="121">
        <v>-1678597.83</v>
      </c>
      <c r="H40" s="121">
        <v>-4628540.6100000003</v>
      </c>
      <c r="I40" s="121">
        <v>794948.85706715717</v>
      </c>
      <c r="J40" s="34">
        <v>996245.08588555013</v>
      </c>
      <c r="K40" s="34">
        <v>-2051949.0548088427</v>
      </c>
      <c r="L40" s="34">
        <v>-784527.68641973974</v>
      </c>
      <c r="M40" s="486">
        <v>2513980.6113185212</v>
      </c>
      <c r="N40" s="486">
        <v>-99315.525006679352</v>
      </c>
      <c r="O40" s="251">
        <f>SUM(LisäyksetVähennykset[[#This Row],[Kuntien yhdistymisavustus (-0,99 €/as)]:[TE25: Uudistuksen rahoituksen siirtymäajan porrastus (50 % kustannusperusteinen / 50 % vos-kriteerit)]])</f>
        <v>-5196001.9719640333</v>
      </c>
      <c r="P40" s="112"/>
    </row>
    <row r="41" spans="1:16" s="45" customFormat="1">
      <c r="A41" s="239">
        <v>111</v>
      </c>
      <c r="B41" s="239" t="s">
        <v>48</v>
      </c>
      <c r="C41" s="326">
        <v>-17773.47</v>
      </c>
      <c r="D41" s="121">
        <v>-32135.87</v>
      </c>
      <c r="E41" s="121">
        <v>-17773.47</v>
      </c>
      <c r="F41" s="121">
        <v>-179.53</v>
      </c>
      <c r="G41" s="121">
        <v>-441105.21</v>
      </c>
      <c r="H41" s="121">
        <v>-1031284.89</v>
      </c>
      <c r="I41" s="121">
        <v>3280698.7248838502</v>
      </c>
      <c r="J41" s="34">
        <v>3224643.4886127044</v>
      </c>
      <c r="K41" s="34">
        <v>-546770.25282158528</v>
      </c>
      <c r="L41" s="34">
        <v>-206159.71478349488</v>
      </c>
      <c r="M41" s="486">
        <v>580310.68038950115</v>
      </c>
      <c r="N41" s="486">
        <v>422279.18833955447</v>
      </c>
      <c r="O41" s="251">
        <f>SUM(LisäyksetVähennykset[[#This Row],[Kuntien yhdistymisavustus (-0,99 €/as)]:[TE25: Uudistuksen rahoituksen siirtymäajan porrastus (50 % kustannusperusteinen / 50 % vos-kriteerit)]])</f>
        <v>5214749.6746205306</v>
      </c>
      <c r="P41" s="112"/>
    </row>
    <row r="42" spans="1:16" s="45" customFormat="1">
      <c r="A42" s="239">
        <v>139</v>
      </c>
      <c r="B42" s="239" t="s">
        <v>49</v>
      </c>
      <c r="C42" s="326">
        <v>-9668.34</v>
      </c>
      <c r="D42" s="121">
        <v>-17481.14</v>
      </c>
      <c r="E42" s="121">
        <v>-9668.34</v>
      </c>
      <c r="F42" s="121">
        <v>-97.66</v>
      </c>
      <c r="G42" s="121">
        <v>-239950.62</v>
      </c>
      <c r="H42" s="121">
        <v>-248091.35</v>
      </c>
      <c r="I42" s="121">
        <v>-911396.29298459936</v>
      </c>
      <c r="J42" s="34">
        <v>-976335.93790663255</v>
      </c>
      <c r="K42" s="34">
        <v>-297133.48966141301</v>
      </c>
      <c r="L42" s="34">
        <v>-112145.92405590214</v>
      </c>
      <c r="M42" s="486">
        <v>551606.1976680411</v>
      </c>
      <c r="N42" s="486">
        <v>175219.52012116229</v>
      </c>
      <c r="O42" s="251">
        <f>SUM(LisäyksetVähennykset[[#This Row],[Kuntien yhdistymisavustus (-0,99 €/as)]:[TE25: Uudistuksen rahoituksen siirtymäajan porrastus (50 % kustannusperusteinen / 50 % vos-kriteerit)]])</f>
        <v>-2095143.3768193438</v>
      </c>
      <c r="P42" s="112"/>
    </row>
    <row r="43" spans="1:16" s="45" customFormat="1">
      <c r="A43" s="239">
        <v>140</v>
      </c>
      <c r="B43" s="239" t="s">
        <v>50</v>
      </c>
      <c r="C43" s="326">
        <v>-20411.82</v>
      </c>
      <c r="D43" s="121">
        <v>-36906.22</v>
      </c>
      <c r="E43" s="121">
        <v>-20411.82</v>
      </c>
      <c r="F43" s="121">
        <v>-206.18</v>
      </c>
      <c r="G43" s="121">
        <v>-506584.26</v>
      </c>
      <c r="H43" s="121">
        <v>-1111284</v>
      </c>
      <c r="I43" s="121">
        <v>5685064.8020169754</v>
      </c>
      <c r="J43" s="34">
        <v>2595982.1962445625</v>
      </c>
      <c r="K43" s="34">
        <v>-627288.51298559341</v>
      </c>
      <c r="L43" s="34">
        <v>-236762.71371949522</v>
      </c>
      <c r="M43" s="486">
        <v>778185.43467979413</v>
      </c>
      <c r="N43" s="486">
        <v>429674.83116460568</v>
      </c>
      <c r="O43" s="251">
        <f>SUM(LisäyksetVähennykset[[#This Row],[Kuntien yhdistymisavustus (-0,99 €/as)]:[TE25: Uudistuksen rahoituksen siirtymäajan porrastus (50 % kustannusperusteinen / 50 % vos-kriteerit)]])</f>
        <v>6929051.7374008493</v>
      </c>
      <c r="P43" s="112"/>
    </row>
    <row r="44" spans="1:16" s="45" customFormat="1">
      <c r="A44" s="239">
        <v>142</v>
      </c>
      <c r="B44" s="239" t="s">
        <v>51</v>
      </c>
      <c r="C44" s="326">
        <v>-6379.5599999999995</v>
      </c>
      <c r="D44" s="121">
        <v>-11534.76</v>
      </c>
      <c r="E44" s="121">
        <v>-6379.5599999999995</v>
      </c>
      <c r="F44" s="121">
        <v>-64.44</v>
      </c>
      <c r="G44" s="121">
        <v>-158329.08000000002</v>
      </c>
      <c r="H44" s="121">
        <v>-188889.27</v>
      </c>
      <c r="I44" s="121">
        <v>301489.22099049215</v>
      </c>
      <c r="J44" s="34">
        <v>151373.90711461726</v>
      </c>
      <c r="K44" s="34">
        <v>-196138.86296131436</v>
      </c>
      <c r="L44" s="34">
        <v>-73998.395926298734</v>
      </c>
      <c r="M44" s="486">
        <v>182776.87291591475</v>
      </c>
      <c r="N44" s="486">
        <v>99581.99232397275</v>
      </c>
      <c r="O44" s="251">
        <f>SUM(LisäyksetVähennykset[[#This Row],[Kuntien yhdistymisavustus (-0,99 €/as)]:[TE25: Uudistuksen rahoituksen siirtymäajan porrastus (50 % kustannusperusteinen / 50 % vos-kriteerit)]])</f>
        <v>93508.064457383764</v>
      </c>
      <c r="P44" s="112"/>
    </row>
    <row r="45" spans="1:16" s="45" customFormat="1">
      <c r="A45" s="239">
        <v>143</v>
      </c>
      <c r="B45" s="239" t="s">
        <v>52</v>
      </c>
      <c r="C45" s="326">
        <v>-6781.5</v>
      </c>
      <c r="D45" s="121">
        <v>-12261.5</v>
      </c>
      <c r="E45" s="121">
        <v>-6781.5</v>
      </c>
      <c r="F45" s="121">
        <v>-68.5</v>
      </c>
      <c r="G45" s="121">
        <v>-168304.5</v>
      </c>
      <c r="H45" s="121">
        <v>-323110.83</v>
      </c>
      <c r="I45" s="121">
        <v>-570161.43573190132</v>
      </c>
      <c r="J45" s="34">
        <v>-13529.40832787806</v>
      </c>
      <c r="K45" s="34">
        <v>-205185.85848536019</v>
      </c>
      <c r="L45" s="34">
        <v>-78660.616402102154</v>
      </c>
      <c r="M45" s="486">
        <v>334277.64786337712</v>
      </c>
      <c r="N45" s="486">
        <v>22927.718255905726</v>
      </c>
      <c r="O45" s="251">
        <f>SUM(LisäyksetVähennykset[[#This Row],[Kuntien yhdistymisavustus (-0,99 €/as)]:[TE25: Uudistuksen rahoituksen siirtymäajan porrastus (50 % kustannusperusteinen / 50 % vos-kriteerit)]])</f>
        <v>-1027640.2828279589</v>
      </c>
      <c r="P45" s="112"/>
    </row>
    <row r="46" spans="1:16" s="45" customFormat="1">
      <c r="A46" s="239">
        <v>145</v>
      </c>
      <c r="B46" s="239" t="s">
        <v>53</v>
      </c>
      <c r="C46" s="326">
        <v>-12219.57</v>
      </c>
      <c r="D46" s="121">
        <v>-22093.97</v>
      </c>
      <c r="E46" s="121">
        <v>-12219.57</v>
      </c>
      <c r="F46" s="121">
        <v>-123.43</v>
      </c>
      <c r="G46" s="121">
        <v>-303267.51</v>
      </c>
      <c r="H46" s="121">
        <v>-330115.8</v>
      </c>
      <c r="I46" s="121">
        <v>917179.4837392685</v>
      </c>
      <c r="J46" s="34">
        <v>-133213.02717707519</v>
      </c>
      <c r="K46" s="34">
        <v>-373007.62545641098</v>
      </c>
      <c r="L46" s="34">
        <v>-141738.39244542291</v>
      </c>
      <c r="M46" s="486">
        <v>366573.14791111095</v>
      </c>
      <c r="N46" s="486">
        <v>-64259.779437776771</v>
      </c>
      <c r="O46" s="251">
        <f>SUM(LisäyksetVähennykset[[#This Row],[Kuntien yhdistymisavustus (-0,99 €/as)]:[TE25: Uudistuksen rahoituksen siirtymäajan porrastus (50 % kustannusperusteinen / 50 % vos-kriteerit)]])</f>
        <v>-108506.04286630644</v>
      </c>
      <c r="P46" s="112"/>
    </row>
    <row r="47" spans="1:16" s="45" customFormat="1">
      <c r="A47" s="239">
        <v>146</v>
      </c>
      <c r="B47" s="239" t="s">
        <v>54</v>
      </c>
      <c r="C47" s="326">
        <v>-4361.9399999999996</v>
      </c>
      <c r="D47" s="121">
        <v>-7886.74</v>
      </c>
      <c r="E47" s="121">
        <v>-4361.9399999999996</v>
      </c>
      <c r="F47" s="121">
        <v>-44.06</v>
      </c>
      <c r="G47" s="121">
        <v>-108255.42</v>
      </c>
      <c r="H47" s="121">
        <v>-112186.71</v>
      </c>
      <c r="I47" s="121">
        <v>303762.45364671614</v>
      </c>
      <c r="J47" s="34">
        <v>-8932.1137873057396</v>
      </c>
      <c r="K47" s="34">
        <v>-135463.6796467134</v>
      </c>
      <c r="L47" s="34">
        <v>-50595.42713396527</v>
      </c>
      <c r="M47" s="486">
        <v>151013.83184553613</v>
      </c>
      <c r="N47" s="486">
        <v>218111.5914563383</v>
      </c>
      <c r="O47" s="251">
        <f>SUM(LisäyksetVähennykset[[#This Row],[Kuntien yhdistymisavustus (-0,99 €/as)]:[TE25: Uudistuksen rahoituksen siirtymäajan porrastus (50 % kustannusperusteinen / 50 % vos-kriteerit)]])</f>
        <v>240799.84638060615</v>
      </c>
      <c r="P47" s="112"/>
    </row>
    <row r="48" spans="1:16" s="45" customFormat="1">
      <c r="A48" s="239">
        <v>148</v>
      </c>
      <c r="B48" s="239" t="s">
        <v>55</v>
      </c>
      <c r="C48" s="326">
        <v>-7055.73</v>
      </c>
      <c r="D48" s="121">
        <v>-12757.33</v>
      </c>
      <c r="E48" s="121">
        <v>-7055.73</v>
      </c>
      <c r="F48" s="121">
        <v>-71.27</v>
      </c>
      <c r="G48" s="121">
        <v>-175110.39</v>
      </c>
      <c r="H48" s="121">
        <v>-104189.14</v>
      </c>
      <c r="I48" s="121">
        <v>803463.68846376939</v>
      </c>
      <c r="J48" s="34">
        <v>2281608.4768486638</v>
      </c>
      <c r="K48" s="34">
        <v>-212513.92485983737</v>
      </c>
      <c r="L48" s="34">
        <v>-81841.490963179866</v>
      </c>
      <c r="M48" s="486">
        <v>258610.77684593294</v>
      </c>
      <c r="N48" s="486">
        <v>73178.513178704423</v>
      </c>
      <c r="O48" s="251">
        <f>SUM(LisäyksetVähennykset[[#This Row],[Kuntien yhdistymisavustus (-0,99 €/as)]:[TE25: Uudistuksen rahoituksen siirtymäajan porrastus (50 % kustannusperusteinen / 50 % vos-kriteerit)]])</f>
        <v>2816266.4495140533</v>
      </c>
      <c r="P48" s="112"/>
    </row>
    <row r="49" spans="1:16" s="45" customFormat="1">
      <c r="A49" s="239">
        <v>149</v>
      </c>
      <c r="B49" s="239" t="s">
        <v>56</v>
      </c>
      <c r="C49" s="326">
        <v>-5325.21</v>
      </c>
      <c r="D49" s="121">
        <v>-9628.41</v>
      </c>
      <c r="E49" s="121">
        <v>-5325.21</v>
      </c>
      <c r="F49" s="121">
        <v>-53.79</v>
      </c>
      <c r="G49" s="121">
        <v>-132162.03</v>
      </c>
      <c r="H49" s="121">
        <v>-123815.32</v>
      </c>
      <c r="I49" s="121">
        <v>653034.60977578419</v>
      </c>
      <c r="J49" s="34">
        <v>314059.90415576485</v>
      </c>
      <c r="K49" s="34">
        <v>-162363.41300487643</v>
      </c>
      <c r="L49" s="34">
        <v>-61768.679653563137</v>
      </c>
      <c r="M49" s="486">
        <v>38187.848451073107</v>
      </c>
      <c r="N49" s="486">
        <v>-34392.606850867625</v>
      </c>
      <c r="O49" s="251">
        <f>SUM(LisäyksetVähennykset[[#This Row],[Kuntien yhdistymisavustus (-0,99 €/as)]:[TE25: Uudistuksen rahoituksen siirtymäajan porrastus (50 % kustannusperusteinen / 50 % vos-kriteerit)]])</f>
        <v>470447.69287331495</v>
      </c>
      <c r="P49" s="112"/>
    </row>
    <row r="50" spans="1:16" s="45" customFormat="1">
      <c r="A50" s="239">
        <v>151</v>
      </c>
      <c r="B50" s="239" t="s">
        <v>57</v>
      </c>
      <c r="C50" s="326">
        <v>-1795.86</v>
      </c>
      <c r="D50" s="121">
        <v>-3247.06</v>
      </c>
      <c r="E50" s="121">
        <v>-1795.86</v>
      </c>
      <c r="F50" s="121">
        <v>-18.14</v>
      </c>
      <c r="G50" s="121">
        <v>-44569.98</v>
      </c>
      <c r="H50" s="121">
        <v>-39937.15</v>
      </c>
      <c r="I50" s="121">
        <v>-213504.57668624003</v>
      </c>
      <c r="J50" s="34">
        <v>-246366.05231797491</v>
      </c>
      <c r="K50" s="34">
        <v>-55850.119035109798</v>
      </c>
      <c r="L50" s="34">
        <v>-20830.709219476397</v>
      </c>
      <c r="M50" s="486">
        <v>60101.949634589699</v>
      </c>
      <c r="N50" s="486">
        <v>2128.2685301002639</v>
      </c>
      <c r="O50" s="251">
        <f>SUM(LisäyksetVähennykset[[#This Row],[Kuntien yhdistymisavustus (-0,99 €/as)]:[TE25: Uudistuksen rahoituksen siirtymäajan porrastus (50 % kustannusperusteinen / 50 % vos-kriteerit)]])</f>
        <v>-565685.28909411118</v>
      </c>
      <c r="P50" s="112"/>
    </row>
    <row r="51" spans="1:16" s="45" customFormat="1">
      <c r="A51" s="239">
        <v>152</v>
      </c>
      <c r="B51" s="239" t="s">
        <v>58</v>
      </c>
      <c r="C51" s="326">
        <v>-4313.43</v>
      </c>
      <c r="D51" s="121">
        <v>-7799.03</v>
      </c>
      <c r="E51" s="121">
        <v>-4313.43</v>
      </c>
      <c r="F51" s="121">
        <v>-43.57</v>
      </c>
      <c r="G51" s="121">
        <v>-107051.49</v>
      </c>
      <c r="H51" s="121">
        <v>-151875.29999999999</v>
      </c>
      <c r="I51" s="121">
        <v>224718.25083406357</v>
      </c>
      <c r="J51" s="34">
        <v>-120499.8185769589</v>
      </c>
      <c r="K51" s="34">
        <v>-132870.20759648693</v>
      </c>
      <c r="L51" s="34">
        <v>-50032.745352402788</v>
      </c>
      <c r="M51" s="486">
        <v>152581.63259346157</v>
      </c>
      <c r="N51" s="486">
        <v>42546.459572664346</v>
      </c>
      <c r="O51" s="251">
        <f>SUM(LisäyksetVähennykset[[#This Row],[Kuntien yhdistymisavustus (-0,99 €/as)]:[TE25: Uudistuksen rahoituksen siirtymäajan porrastus (50 % kustannusperusteinen / 50 % vos-kriteerit)]])</f>
        <v>-158952.67852565911</v>
      </c>
      <c r="P51" s="112"/>
    </row>
    <row r="52" spans="1:16" s="45" customFormat="1">
      <c r="A52" s="239">
        <v>153</v>
      </c>
      <c r="B52" s="239" t="s">
        <v>59</v>
      </c>
      <c r="C52" s="326">
        <v>-24669.81</v>
      </c>
      <c r="D52" s="121">
        <v>-44605.01</v>
      </c>
      <c r="E52" s="121">
        <v>-24669.81</v>
      </c>
      <c r="F52" s="121">
        <v>-249.19</v>
      </c>
      <c r="G52" s="121">
        <v>-612259.82999999996</v>
      </c>
      <c r="H52" s="121">
        <v>-1630508.78</v>
      </c>
      <c r="I52" s="121">
        <v>5537010.592029145</v>
      </c>
      <c r="J52" s="34">
        <v>3735764.1877530506</v>
      </c>
      <c r="K52" s="34">
        <v>-760188.87723382714</v>
      </c>
      <c r="L52" s="34">
        <v>-286152.39417868375</v>
      </c>
      <c r="M52" s="486">
        <v>1970819.4952160623</v>
      </c>
      <c r="N52" s="486">
        <v>1025034.5393337025</v>
      </c>
      <c r="O52" s="251">
        <f>SUM(LisäyksetVähennykset[[#This Row],[Kuntien yhdistymisavustus (-0,99 €/as)]:[TE25: Uudistuksen rahoituksen siirtymäajan porrastus (50 % kustannusperusteinen / 50 % vos-kriteerit)]])</f>
        <v>8885325.1129194498</v>
      </c>
      <c r="P52" s="112"/>
    </row>
    <row r="53" spans="1:16" s="45" customFormat="1">
      <c r="A53" s="239">
        <v>165</v>
      </c>
      <c r="B53" s="239" t="s">
        <v>60</v>
      </c>
      <c r="C53" s="326">
        <v>-15961.77</v>
      </c>
      <c r="D53" s="121">
        <v>-28860.170000000002</v>
      </c>
      <c r="E53" s="121">
        <v>-15961.77</v>
      </c>
      <c r="F53" s="121">
        <v>-161.22999999999999</v>
      </c>
      <c r="G53" s="121">
        <v>-396142.11</v>
      </c>
      <c r="H53" s="121">
        <v>-698647.92</v>
      </c>
      <c r="I53" s="121">
        <v>694533.36096581677</v>
      </c>
      <c r="J53" s="34">
        <v>-32371.952906798182</v>
      </c>
      <c r="K53" s="34">
        <v>-490950.29043822223</v>
      </c>
      <c r="L53" s="34">
        <v>-185145.27273738585</v>
      </c>
      <c r="M53" s="486">
        <v>637902.4292259661</v>
      </c>
      <c r="N53" s="486">
        <v>-79471.231444899575</v>
      </c>
      <c r="O53" s="251">
        <f>SUM(LisäyksetVähennykset[[#This Row],[Kuntien yhdistymisavustus (-0,99 €/as)]:[TE25: Uudistuksen rahoituksen siirtymäajan porrastus (50 % kustannusperusteinen / 50 % vos-kriteerit)]])</f>
        <v>-611237.92733552295</v>
      </c>
      <c r="P53" s="112"/>
    </row>
    <row r="54" spans="1:16" s="45" customFormat="1">
      <c r="A54" s="239">
        <v>167</v>
      </c>
      <c r="B54" s="239" t="s">
        <v>61</v>
      </c>
      <c r="C54" s="326">
        <v>-77281.38</v>
      </c>
      <c r="D54" s="121">
        <v>-139730.98000000001</v>
      </c>
      <c r="E54" s="121">
        <v>-77281.38</v>
      </c>
      <c r="F54" s="121">
        <v>-780.62</v>
      </c>
      <c r="G54" s="121">
        <v>-1917983.34</v>
      </c>
      <c r="H54" s="121">
        <v>-5101237.62</v>
      </c>
      <c r="I54" s="121">
        <v>1000271.2804418162</v>
      </c>
      <c r="J54" s="34">
        <v>125829.25305245673</v>
      </c>
      <c r="K54" s="34">
        <v>-2337532.5468512238</v>
      </c>
      <c r="L54" s="34">
        <v>-896409.49453735747</v>
      </c>
      <c r="M54" s="486">
        <v>3139853.0823817085</v>
      </c>
      <c r="N54" s="486">
        <v>1045434.5501260879</v>
      </c>
      <c r="O54" s="251">
        <f>SUM(LisäyksetVähennykset[[#This Row],[Kuntien yhdistymisavustus (-0,99 €/as)]:[TE25: Uudistuksen rahoituksen siirtymäajan porrastus (50 % kustannusperusteinen / 50 % vos-kriteerit)]])</f>
        <v>-5236849.1953865131</v>
      </c>
      <c r="P54" s="112"/>
    </row>
    <row r="55" spans="1:16" s="45" customFormat="1">
      <c r="A55" s="239">
        <v>169</v>
      </c>
      <c r="B55" s="239" t="s">
        <v>62</v>
      </c>
      <c r="C55" s="326">
        <v>-4866.84</v>
      </c>
      <c r="D55" s="121">
        <v>-8799.64</v>
      </c>
      <c r="E55" s="121">
        <v>-4866.84</v>
      </c>
      <c r="F55" s="121">
        <v>-49.160000000000004</v>
      </c>
      <c r="G55" s="121">
        <v>-120786.12</v>
      </c>
      <c r="H55" s="121">
        <v>-152506.56</v>
      </c>
      <c r="I55" s="121">
        <v>347753.15940066334</v>
      </c>
      <c r="J55" s="34">
        <v>95656.411239886671</v>
      </c>
      <c r="K55" s="34">
        <v>-150481.69221662954</v>
      </c>
      <c r="L55" s="34">
        <v>-56451.910982880909</v>
      </c>
      <c r="M55" s="486">
        <v>236395.50705608181</v>
      </c>
      <c r="N55" s="486">
        <v>-40773.45395932917</v>
      </c>
      <c r="O55" s="251">
        <f>SUM(LisäyksetVähennykset[[#This Row],[Kuntien yhdistymisavustus (-0,99 €/as)]:[TE25: Uudistuksen rahoituksen siirtymäajan porrastus (50 % kustannusperusteinen / 50 % vos-kriteerit)]])</f>
        <v>140222.86053779215</v>
      </c>
      <c r="P55" s="112"/>
    </row>
    <row r="56" spans="1:16" s="45" customFormat="1">
      <c r="A56" s="239">
        <v>171</v>
      </c>
      <c r="B56" s="239" t="s">
        <v>63</v>
      </c>
      <c r="C56" s="326">
        <v>-4544.1000000000004</v>
      </c>
      <c r="D56" s="121">
        <v>-8216.1</v>
      </c>
      <c r="E56" s="121">
        <v>-4544.1000000000004</v>
      </c>
      <c r="F56" s="121">
        <v>-45.9</v>
      </c>
      <c r="G56" s="121">
        <v>-112776.3</v>
      </c>
      <c r="H56" s="121">
        <v>-148770.45000000001</v>
      </c>
      <c r="I56" s="121">
        <v>-12155.513944519638</v>
      </c>
      <c r="J56" s="34">
        <v>-81471.112861496571</v>
      </c>
      <c r="K56" s="34">
        <v>-136911.19893056076</v>
      </c>
      <c r="L56" s="34">
        <v>-52708.354640240716</v>
      </c>
      <c r="M56" s="486">
        <v>252707.80440952297</v>
      </c>
      <c r="N56" s="486">
        <v>69476.075635772664</v>
      </c>
      <c r="O56" s="251">
        <f>SUM(LisäyksetVähennykset[[#This Row],[Kuntien yhdistymisavustus (-0,99 €/as)]:[TE25: Uudistuksen rahoituksen siirtymäajan porrastus (50 % kustannusperusteinen / 50 % vos-kriteerit)]])</f>
        <v>-239959.25033152202</v>
      </c>
      <c r="P56" s="112"/>
    </row>
    <row r="57" spans="1:16" s="45" customFormat="1">
      <c r="A57" s="239">
        <v>172</v>
      </c>
      <c r="B57" s="239" t="s">
        <v>64</v>
      </c>
      <c r="C57" s="326">
        <v>-4038.21</v>
      </c>
      <c r="D57" s="121">
        <v>-7301.41</v>
      </c>
      <c r="E57" s="121">
        <v>-4038.21</v>
      </c>
      <c r="F57" s="121">
        <v>-40.79</v>
      </c>
      <c r="G57" s="121">
        <v>-100221.03</v>
      </c>
      <c r="H57" s="121">
        <v>-142144.06</v>
      </c>
      <c r="I57" s="121">
        <v>49791.24756126546</v>
      </c>
      <c r="J57" s="34">
        <v>-35212.702391500337</v>
      </c>
      <c r="K57" s="34">
        <v>-125783.39443598433</v>
      </c>
      <c r="L57" s="34">
        <v>-46840.387489660541</v>
      </c>
      <c r="M57" s="486">
        <v>155567.12333135976</v>
      </c>
      <c r="N57" s="486">
        <v>67126.824352776166</v>
      </c>
      <c r="O57" s="251">
        <f>SUM(LisäyksetVähennykset[[#This Row],[Kuntien yhdistymisavustus (-0,99 €/as)]:[TE25: Uudistuksen rahoituksen siirtymäajan porrastus (50 % kustannusperusteinen / 50 % vos-kriteerit)]])</f>
        <v>-193134.9990717438</v>
      </c>
      <c r="P57" s="112"/>
    </row>
    <row r="58" spans="1:16" s="45" customFormat="1">
      <c r="A58" s="239">
        <v>176</v>
      </c>
      <c r="B58" s="239" t="s">
        <v>65</v>
      </c>
      <c r="C58" s="326">
        <v>-4216.41</v>
      </c>
      <c r="D58" s="121">
        <v>-7623.6100000000006</v>
      </c>
      <c r="E58" s="121">
        <v>-4216.41</v>
      </c>
      <c r="F58" s="121">
        <v>-42.59</v>
      </c>
      <c r="G58" s="121">
        <v>-104643.63</v>
      </c>
      <c r="H58" s="121">
        <v>-166408.29999999999</v>
      </c>
      <c r="I58" s="121">
        <v>-1212024.5562989509</v>
      </c>
      <c r="J58" s="34">
        <v>-812093.19936783856</v>
      </c>
      <c r="K58" s="34">
        <v>-131241.74840215867</v>
      </c>
      <c r="L58" s="34">
        <v>-48907.381789277824</v>
      </c>
      <c r="M58" s="486">
        <v>223821.04717298021</v>
      </c>
      <c r="N58" s="486">
        <v>56054.703222698299</v>
      </c>
      <c r="O58" s="251">
        <f>SUM(LisäyksetVähennykset[[#This Row],[Kuntien yhdistymisavustus (-0,99 €/as)]:[TE25: Uudistuksen rahoituksen siirtymäajan porrastus (50 % kustannusperusteinen / 50 % vos-kriteerit)]])</f>
        <v>-2211542.0854625469</v>
      </c>
      <c r="P58" s="112"/>
    </row>
    <row r="59" spans="1:16" s="45" customFormat="1">
      <c r="A59" s="239">
        <v>177</v>
      </c>
      <c r="B59" s="239" t="s">
        <v>66</v>
      </c>
      <c r="C59" s="326">
        <v>-1690.92</v>
      </c>
      <c r="D59" s="121">
        <v>-3057.32</v>
      </c>
      <c r="E59" s="121">
        <v>-1690.92</v>
      </c>
      <c r="F59" s="121">
        <v>-17.080000000000002</v>
      </c>
      <c r="G59" s="121">
        <v>-41965.56</v>
      </c>
      <c r="H59" s="121">
        <v>-59333.88</v>
      </c>
      <c r="I59" s="121">
        <v>360037.27959701786</v>
      </c>
      <c r="J59" s="34">
        <v>300141.58579635597</v>
      </c>
      <c r="K59" s="34">
        <v>-53316.960288376962</v>
      </c>
      <c r="L59" s="34">
        <v>-19613.479243035108</v>
      </c>
      <c r="M59" s="486">
        <v>82428.2548913098</v>
      </c>
      <c r="N59" s="486">
        <v>6848.6167435539537</v>
      </c>
      <c r="O59" s="251">
        <f>SUM(LisäyksetVähennykset[[#This Row],[Kuntien yhdistymisavustus (-0,99 €/as)]:[TE25: Uudistuksen rahoituksen siirtymäajan porrastus (50 % kustannusperusteinen / 50 % vos-kriteerit)]])</f>
        <v>568769.61749682552</v>
      </c>
      <c r="P59" s="112"/>
    </row>
    <row r="60" spans="1:16" s="45" customFormat="1">
      <c r="A60" s="239">
        <v>178</v>
      </c>
      <c r="B60" s="239" t="s">
        <v>67</v>
      </c>
      <c r="C60" s="326">
        <v>-5676.66</v>
      </c>
      <c r="D60" s="121">
        <v>-10263.86</v>
      </c>
      <c r="E60" s="121">
        <v>-5676.66</v>
      </c>
      <c r="F60" s="121">
        <v>-57.34</v>
      </c>
      <c r="G60" s="121">
        <v>-140884.38</v>
      </c>
      <c r="H60" s="121">
        <v>-128338.3</v>
      </c>
      <c r="I60" s="121">
        <v>562621.34437830735</v>
      </c>
      <c r="J60" s="34">
        <v>-11471.363410277561</v>
      </c>
      <c r="K60" s="34">
        <v>-173973.72392740197</v>
      </c>
      <c r="L60" s="34">
        <v>-65845.251744474997</v>
      </c>
      <c r="M60" s="486">
        <v>203959.63121501342</v>
      </c>
      <c r="N60" s="486">
        <v>7576.9402471139329</v>
      </c>
      <c r="O60" s="251">
        <f>SUM(LisäyksetVähennykset[[#This Row],[Kuntien yhdistymisavustus (-0,99 €/as)]:[TE25: Uudistuksen rahoituksen siirtymäajan porrastus (50 % kustannusperusteinen / 50 % vos-kriteerit)]])</f>
        <v>231970.37675828015</v>
      </c>
      <c r="P60" s="112"/>
    </row>
    <row r="61" spans="1:16" s="45" customFormat="1">
      <c r="A61" s="239">
        <v>179</v>
      </c>
      <c r="B61" s="239" t="s">
        <v>68</v>
      </c>
      <c r="C61" s="326">
        <v>-146268.54</v>
      </c>
      <c r="D61" s="121">
        <v>-264465.34000000003</v>
      </c>
      <c r="E61" s="121">
        <v>-146268.54</v>
      </c>
      <c r="F61" s="121">
        <v>-1477.46</v>
      </c>
      <c r="G61" s="121">
        <v>-3630119.22</v>
      </c>
      <c r="H61" s="121">
        <v>-13442261.689999999</v>
      </c>
      <c r="I61" s="121">
        <v>-16971835.489615656</v>
      </c>
      <c r="J61" s="34">
        <v>-2034296.0660482985</v>
      </c>
      <c r="K61" s="34">
        <v>-4399463.4533882635</v>
      </c>
      <c r="L61" s="34">
        <v>-1696611.8877291949</v>
      </c>
      <c r="M61" s="486">
        <v>7246237.8489585929</v>
      </c>
      <c r="N61" s="486">
        <v>2614536.8443842512</v>
      </c>
      <c r="O61" s="251">
        <f>SUM(LisäyksetVähennykset[[#This Row],[Kuntien yhdistymisavustus (-0,99 €/as)]:[TE25: Uudistuksen rahoituksen siirtymäajan porrastus (50 % kustannusperusteinen / 50 % vos-kriteerit)]])</f>
        <v>-32872292.993438572</v>
      </c>
      <c r="P61" s="112"/>
    </row>
    <row r="62" spans="1:16" s="45" customFormat="1">
      <c r="A62" s="239">
        <v>181</v>
      </c>
      <c r="B62" s="239" t="s">
        <v>69</v>
      </c>
      <c r="C62" s="326">
        <v>-1665.18</v>
      </c>
      <c r="D62" s="121">
        <v>-3010.78</v>
      </c>
      <c r="E62" s="121">
        <v>-1665.18</v>
      </c>
      <c r="F62" s="121">
        <v>-16.82</v>
      </c>
      <c r="G62" s="121">
        <v>-41326.74</v>
      </c>
      <c r="H62" s="121">
        <v>-34118.28</v>
      </c>
      <c r="I62" s="121">
        <v>394329.63214579888</v>
      </c>
      <c r="J62" s="34">
        <v>215990.50183067619</v>
      </c>
      <c r="K62" s="34">
        <v>-50753.644889897296</v>
      </c>
      <c r="L62" s="34">
        <v>-19314.913399757053</v>
      </c>
      <c r="M62" s="486">
        <v>67066.497713681718</v>
      </c>
      <c r="N62" s="486">
        <v>3194.151683825592</v>
      </c>
      <c r="O62" s="251">
        <f>SUM(LisäyksetVähennykset[[#This Row],[Kuntien yhdistymisavustus (-0,99 €/as)]:[TE25: Uudistuksen rahoituksen siirtymäajan porrastus (50 % kustannusperusteinen / 50 % vos-kriteerit)]])</f>
        <v>528709.24508432811</v>
      </c>
      <c r="P62" s="112"/>
    </row>
    <row r="63" spans="1:16" s="45" customFormat="1">
      <c r="A63" s="239">
        <v>182</v>
      </c>
      <c r="B63" s="239" t="s">
        <v>70</v>
      </c>
      <c r="C63" s="326">
        <v>-18990.18</v>
      </c>
      <c r="D63" s="121">
        <v>-34335.78</v>
      </c>
      <c r="E63" s="121">
        <v>-18990.18</v>
      </c>
      <c r="F63" s="121">
        <v>-191.82</v>
      </c>
      <c r="G63" s="121">
        <v>-471301.74</v>
      </c>
      <c r="H63" s="121">
        <v>-842074.57</v>
      </c>
      <c r="I63" s="121">
        <v>-1701536.8844990539</v>
      </c>
      <c r="J63" s="34">
        <v>-38470.526590161207</v>
      </c>
      <c r="K63" s="34">
        <v>-583440.7413457178</v>
      </c>
      <c r="L63" s="34">
        <v>-220272.69252921513</v>
      </c>
      <c r="M63" s="486">
        <v>1296076.7919070318</v>
      </c>
      <c r="N63" s="486">
        <v>117919.02476628078</v>
      </c>
      <c r="O63" s="251">
        <f>SUM(LisäyksetVähennykset[[#This Row],[Kuntien yhdistymisavustus (-0,99 €/as)]:[TE25: Uudistuksen rahoituksen siirtymäajan porrastus (50 % kustannusperusteinen / 50 % vos-kriteerit)]])</f>
        <v>-2515609.2982908352</v>
      </c>
      <c r="P63" s="112"/>
    </row>
    <row r="64" spans="1:16" s="45" customFormat="1">
      <c r="A64" s="239">
        <v>186</v>
      </c>
      <c r="B64" s="239" t="s">
        <v>71</v>
      </c>
      <c r="C64" s="326">
        <v>-46025.1</v>
      </c>
      <c r="D64" s="121">
        <v>-83217.100000000006</v>
      </c>
      <c r="E64" s="121">
        <v>-46025.1</v>
      </c>
      <c r="F64" s="121">
        <v>-464.90000000000003</v>
      </c>
      <c r="G64" s="121">
        <v>-1142259.3</v>
      </c>
      <c r="H64" s="121">
        <v>-4112359.48</v>
      </c>
      <c r="I64" s="121">
        <v>-5513681.2232682928</v>
      </c>
      <c r="J64" s="34">
        <v>-1242948.8733042579</v>
      </c>
      <c r="K64" s="34">
        <v>-1376048.0192073761</v>
      </c>
      <c r="L64" s="34">
        <v>-533858.69438448607</v>
      </c>
      <c r="M64" s="486">
        <v>1230984.5746319396</v>
      </c>
      <c r="N64" s="486">
        <v>-766822.83628181601</v>
      </c>
      <c r="O64" s="251">
        <f>SUM(LisäyksetVähennykset[[#This Row],[Kuntien yhdistymisavustus (-0,99 €/as)]:[TE25: Uudistuksen rahoituksen siirtymäajan porrastus (50 % kustannusperusteinen / 50 % vos-kriteerit)]])</f>
        <v>-13632726.051814286</v>
      </c>
      <c r="P64" s="112"/>
    </row>
    <row r="65" spans="1:16" s="45" customFormat="1">
      <c r="A65" s="239">
        <v>202</v>
      </c>
      <c r="B65" s="239" t="s">
        <v>72</v>
      </c>
      <c r="C65" s="326">
        <v>-35975.61</v>
      </c>
      <c r="D65" s="121">
        <v>-65046.81</v>
      </c>
      <c r="E65" s="121">
        <v>-35975.61</v>
      </c>
      <c r="F65" s="121">
        <v>-363.39</v>
      </c>
      <c r="G65" s="121">
        <v>-892849.23</v>
      </c>
      <c r="H65" s="121">
        <v>-1181887.3799999999</v>
      </c>
      <c r="I65" s="121">
        <v>5606712.1049421523</v>
      </c>
      <c r="J65" s="34">
        <v>1856913.8247865508</v>
      </c>
      <c r="K65" s="34">
        <v>-1081055.6518199872</v>
      </c>
      <c r="L65" s="34">
        <v>-417291.69918773579</v>
      </c>
      <c r="M65" s="486">
        <v>1227989.8820834362</v>
      </c>
      <c r="N65" s="486">
        <v>-309871.87229758501</v>
      </c>
      <c r="O65" s="251">
        <f>SUM(LisäyksetVähennykset[[#This Row],[Kuntien yhdistymisavustus (-0,99 €/as)]:[TE25: Uudistuksen rahoituksen siirtymäajan porrastus (50 % kustannusperusteinen / 50 % vos-kriteerit)]])</f>
        <v>4671298.5585068315</v>
      </c>
      <c r="P65" s="112"/>
    </row>
    <row r="66" spans="1:16" s="45" customFormat="1">
      <c r="A66" s="239">
        <v>204</v>
      </c>
      <c r="B66" s="239" t="s">
        <v>73</v>
      </c>
      <c r="C66" s="326">
        <v>-2601.7199999999998</v>
      </c>
      <c r="D66" s="121">
        <v>-4704.12</v>
      </c>
      <c r="E66" s="121">
        <v>-2601.7199999999998</v>
      </c>
      <c r="F66" s="121">
        <v>-26.28</v>
      </c>
      <c r="G66" s="121">
        <v>-64569.96</v>
      </c>
      <c r="H66" s="121">
        <v>-136277.56</v>
      </c>
      <c r="I66" s="121">
        <v>-782390.53640098392</v>
      </c>
      <c r="J66" s="34">
        <v>-869830.03001601703</v>
      </c>
      <c r="K66" s="34">
        <v>-81091.236547197768</v>
      </c>
      <c r="L66" s="34">
        <v>-30178.11677441233</v>
      </c>
      <c r="M66" s="486">
        <v>80854.91897010681</v>
      </c>
      <c r="N66" s="486">
        <v>23822.375644139946</v>
      </c>
      <c r="O66" s="251">
        <f>SUM(LisäyksetVähennykset[[#This Row],[Kuntien yhdistymisavustus (-0,99 €/as)]:[TE25: Uudistuksen rahoituksen siirtymäajan porrastus (50 % kustannusperusteinen / 50 % vos-kriteerit)]])</f>
        <v>-1869593.9851243643</v>
      </c>
      <c r="P66" s="112"/>
    </row>
    <row r="67" spans="1:16" s="45" customFormat="1">
      <c r="A67" s="239">
        <v>205</v>
      </c>
      <c r="B67" s="239" t="s">
        <v>74</v>
      </c>
      <c r="C67" s="326">
        <v>-36147.870000000003</v>
      </c>
      <c r="D67" s="121">
        <v>-65358.270000000004</v>
      </c>
      <c r="E67" s="121">
        <v>-36147.870000000003</v>
      </c>
      <c r="F67" s="121">
        <v>-365.13</v>
      </c>
      <c r="G67" s="121">
        <v>-897124.41</v>
      </c>
      <c r="H67" s="121">
        <v>-2039330.86</v>
      </c>
      <c r="I67" s="121">
        <v>-5510659.806209174</v>
      </c>
      <c r="J67" s="34">
        <v>-2555179.3798866821</v>
      </c>
      <c r="K67" s="34">
        <v>-1094595.9884543091</v>
      </c>
      <c r="L67" s="34">
        <v>-419289.79367736587</v>
      </c>
      <c r="M67" s="486">
        <v>1831739.1055438765</v>
      </c>
      <c r="N67" s="486">
        <v>1539632.209590706</v>
      </c>
      <c r="O67" s="251">
        <f>SUM(LisäyksetVähennykset[[#This Row],[Kuntien yhdistymisavustus (-0,99 €/as)]:[TE25: Uudistuksen rahoituksen siirtymäajan porrastus (50 % kustannusperusteinen / 50 % vos-kriteerit)]])</f>
        <v>-9282828.063092947</v>
      </c>
      <c r="P67" s="112"/>
    </row>
    <row r="68" spans="1:16" s="45" customFormat="1">
      <c r="A68" s="239">
        <v>208</v>
      </c>
      <c r="B68" s="239" t="s">
        <v>75</v>
      </c>
      <c r="C68" s="326">
        <v>-12248.28</v>
      </c>
      <c r="D68" s="121">
        <v>-22145.88</v>
      </c>
      <c r="E68" s="121">
        <v>-12248.28</v>
      </c>
      <c r="F68" s="121">
        <v>-123.72</v>
      </c>
      <c r="G68" s="121">
        <v>-303980.03999999998</v>
      </c>
      <c r="H68" s="121">
        <v>-346978.71</v>
      </c>
      <c r="I68" s="121">
        <v>1089083.1731218144</v>
      </c>
      <c r="J68" s="34">
        <v>-24527.520829567296</v>
      </c>
      <c r="K68" s="34">
        <v>-371982.29929701914</v>
      </c>
      <c r="L68" s="34">
        <v>-142071.40819369457</v>
      </c>
      <c r="M68" s="486">
        <v>420396.04003848805</v>
      </c>
      <c r="N68" s="486">
        <v>-59406.29805489385</v>
      </c>
      <c r="O68" s="251">
        <f>SUM(LisäyksetVähennykset[[#This Row],[Kuntien yhdistymisavustus (-0,99 €/as)]:[TE25: Uudistuksen rahoituksen siirtymäajan porrastus (50 % kustannusperusteinen / 50 % vos-kriteerit)]])</f>
        <v>213766.7767851277</v>
      </c>
      <c r="P68" s="112"/>
    </row>
    <row r="69" spans="1:16" s="45" customFormat="1">
      <c r="A69" s="239">
        <v>211</v>
      </c>
      <c r="B69" s="239" t="s">
        <v>76</v>
      </c>
      <c r="C69" s="326">
        <v>-33138.269999999997</v>
      </c>
      <c r="D69" s="121">
        <v>-59916.67</v>
      </c>
      <c r="E69" s="121">
        <v>-33138.269999999997</v>
      </c>
      <c r="F69" s="121">
        <v>-334.73</v>
      </c>
      <c r="G69" s="121">
        <v>-822431.61</v>
      </c>
      <c r="H69" s="121">
        <v>-1164863.01</v>
      </c>
      <c r="I69" s="121">
        <v>223390.48923013205</v>
      </c>
      <c r="J69" s="34">
        <v>-65537.297042700317</v>
      </c>
      <c r="K69" s="34">
        <v>-993933.08492342557</v>
      </c>
      <c r="L69" s="34">
        <v>-384380.55661716283</v>
      </c>
      <c r="M69" s="486">
        <v>703191.42589983507</v>
      </c>
      <c r="N69" s="486">
        <v>-381285.23985731066</v>
      </c>
      <c r="O69" s="251">
        <f>SUM(LisäyksetVähennykset[[#This Row],[Kuntien yhdistymisavustus (-0,99 €/as)]:[TE25: Uudistuksen rahoituksen siirtymäajan porrastus (50 % kustannusperusteinen / 50 % vos-kriteerit)]])</f>
        <v>-3012376.8233106323</v>
      </c>
      <c r="P69" s="112"/>
    </row>
    <row r="70" spans="1:16" s="45" customFormat="1">
      <c r="A70" s="239">
        <v>213</v>
      </c>
      <c r="B70" s="239" t="s">
        <v>77</v>
      </c>
      <c r="C70" s="326">
        <v>-5062.8599999999997</v>
      </c>
      <c r="D70" s="121">
        <v>-9154.06</v>
      </c>
      <c r="E70" s="121">
        <v>-5062.8599999999997</v>
      </c>
      <c r="F70" s="121">
        <v>-51.14</v>
      </c>
      <c r="G70" s="121">
        <v>-125650.98</v>
      </c>
      <c r="H70" s="121">
        <v>-180648.98</v>
      </c>
      <c r="I70" s="121">
        <v>-470155.46297591989</v>
      </c>
      <c r="J70" s="34">
        <v>-35771.170964698824</v>
      </c>
      <c r="K70" s="34">
        <v>-155427.38310310795</v>
      </c>
      <c r="L70" s="34">
        <v>-58725.604712459914</v>
      </c>
      <c r="M70" s="486">
        <v>294952.8221835086</v>
      </c>
      <c r="N70" s="486">
        <v>198137.22516313498</v>
      </c>
      <c r="O70" s="251">
        <f>SUM(LisäyksetVähennykset[[#This Row],[Kuntien yhdistymisavustus (-0,99 €/as)]:[TE25: Uudistuksen rahoituksen siirtymäajan porrastus (50 % kustannusperusteinen / 50 % vos-kriteerit)]])</f>
        <v>-552620.45440954296</v>
      </c>
      <c r="P70" s="112"/>
    </row>
    <row r="71" spans="1:16" s="45" customFormat="1">
      <c r="A71" s="239">
        <v>214</v>
      </c>
      <c r="B71" s="243" t="s">
        <v>78</v>
      </c>
      <c r="C71" s="326">
        <v>-12270.06</v>
      </c>
      <c r="D71" s="121">
        <v>-22185.260000000002</v>
      </c>
      <c r="E71" s="121">
        <v>-12270.06</v>
      </c>
      <c r="F71" s="121">
        <v>-123.94</v>
      </c>
      <c r="G71" s="121">
        <v>-304520.58</v>
      </c>
      <c r="H71" s="121">
        <v>-335058.81</v>
      </c>
      <c r="I71" s="121">
        <v>-361333.04991936445</v>
      </c>
      <c r="J71" s="34">
        <v>-21832.033274303994</v>
      </c>
      <c r="K71" s="34">
        <v>-377802.53308415529</v>
      </c>
      <c r="L71" s="34">
        <v>-142324.04083031448</v>
      </c>
      <c r="M71" s="486">
        <v>899235.07130062208</v>
      </c>
      <c r="N71" s="486">
        <v>193217.73767642083</v>
      </c>
      <c r="O71" s="251">
        <f>SUM(LisäyksetVähennykset[[#This Row],[Kuntien yhdistymisavustus (-0,99 €/as)]:[TE25: Uudistuksen rahoituksen siirtymäajan porrastus (50 % kustannusperusteinen / 50 % vos-kriteerit)]])</f>
        <v>-497267.55813109514</v>
      </c>
      <c r="P71" s="112"/>
    </row>
    <row r="72" spans="1:16" s="45" customFormat="1">
      <c r="A72" s="239">
        <v>216</v>
      </c>
      <c r="B72" s="239" t="s">
        <v>79</v>
      </c>
      <c r="C72" s="326">
        <v>-1204.83</v>
      </c>
      <c r="D72" s="121">
        <v>-2178.4299999999998</v>
      </c>
      <c r="E72" s="121">
        <v>-1204.83</v>
      </c>
      <c r="F72" s="121">
        <v>-12.17</v>
      </c>
      <c r="G72" s="121">
        <v>-29901.69</v>
      </c>
      <c r="H72" s="121">
        <v>-27726.59</v>
      </c>
      <c r="I72" s="121">
        <v>82687.974615637228</v>
      </c>
      <c r="J72" s="34">
        <v>-2523.3420294058287</v>
      </c>
      <c r="K72" s="34">
        <v>-38268.791066714002</v>
      </c>
      <c r="L72" s="34">
        <v>-13975.178125745741</v>
      </c>
      <c r="M72" s="486">
        <v>72270.500594464087</v>
      </c>
      <c r="N72" s="486">
        <v>31106.571450610194</v>
      </c>
      <c r="O72" s="251">
        <f>SUM(LisäyksetVähennykset[[#This Row],[Kuntien yhdistymisavustus (-0,99 €/as)]:[TE25: Uudistuksen rahoituksen siirtymäajan porrastus (50 % kustannusperusteinen / 50 % vos-kriteerit)]])</f>
        <v>69069.195438845942</v>
      </c>
      <c r="P72" s="112"/>
    </row>
    <row r="73" spans="1:16" s="45" customFormat="1">
      <c r="A73" s="239">
        <v>217</v>
      </c>
      <c r="B73" s="239" t="s">
        <v>80</v>
      </c>
      <c r="C73" s="326">
        <v>-5193.54</v>
      </c>
      <c r="D73" s="121">
        <v>-9390.34</v>
      </c>
      <c r="E73" s="121">
        <v>-5193.54</v>
      </c>
      <c r="F73" s="121">
        <v>-52.46</v>
      </c>
      <c r="G73" s="121">
        <v>-128894.22</v>
      </c>
      <c r="H73" s="121">
        <v>-126882.81</v>
      </c>
      <c r="I73" s="121">
        <v>-724681.07728443574</v>
      </c>
      <c r="J73" s="34">
        <v>-756403.70912417769</v>
      </c>
      <c r="K73" s="34">
        <v>-161398.40014897822</v>
      </c>
      <c r="L73" s="34">
        <v>-60241.400532179257</v>
      </c>
      <c r="M73" s="486">
        <v>156458.54626414285</v>
      </c>
      <c r="N73" s="486">
        <v>-34344.220556089102</v>
      </c>
      <c r="O73" s="251">
        <f>SUM(LisäyksetVähennykset[[#This Row],[Kuntien yhdistymisavustus (-0,99 €/as)]:[TE25: Uudistuksen rahoituksen siirtymäajan porrastus (50 % kustannusperusteinen / 50 % vos-kriteerit)]])</f>
        <v>-1856217.1713817175</v>
      </c>
      <c r="P73" s="112"/>
    </row>
    <row r="74" spans="1:16" s="45" customFormat="1">
      <c r="A74" s="239">
        <v>218</v>
      </c>
      <c r="B74" s="239" t="s">
        <v>81</v>
      </c>
      <c r="C74" s="326">
        <v>-1176.1199999999999</v>
      </c>
      <c r="D74" s="121">
        <v>-2126.52</v>
      </c>
      <c r="E74" s="121">
        <v>-1176.1199999999999</v>
      </c>
      <c r="F74" s="121">
        <v>-11.88</v>
      </c>
      <c r="G74" s="121">
        <v>-29189.16</v>
      </c>
      <c r="H74" s="121">
        <v>-35642.980000000003</v>
      </c>
      <c r="I74" s="121">
        <v>331449.52588746767</v>
      </c>
      <c r="J74" s="34">
        <v>136557.85326159588</v>
      </c>
      <c r="K74" s="34">
        <v>-36187.982096183456</v>
      </c>
      <c r="L74" s="34">
        <v>-13642.162377474067</v>
      </c>
      <c r="M74" s="486">
        <v>43032.407021864608</v>
      </c>
      <c r="N74" s="486">
        <v>2552.4835525821545</v>
      </c>
      <c r="O74" s="251">
        <f>SUM(LisäyksetVähennykset[[#This Row],[Kuntien yhdistymisavustus (-0,99 €/as)]:[TE25: Uudistuksen rahoituksen siirtymäajan porrastus (50 % kustannusperusteinen / 50 % vos-kriteerit)]])</f>
        <v>394439.34524985281</v>
      </c>
      <c r="P74" s="112"/>
    </row>
    <row r="75" spans="1:16" s="45" customFormat="1">
      <c r="A75" s="239">
        <v>224</v>
      </c>
      <c r="B75" s="239" t="s">
        <v>82</v>
      </c>
      <c r="C75" s="326">
        <v>-8495.19</v>
      </c>
      <c r="D75" s="121">
        <v>-15359.99</v>
      </c>
      <c r="E75" s="121">
        <v>-8495.19</v>
      </c>
      <c r="F75" s="121">
        <v>-85.81</v>
      </c>
      <c r="G75" s="121">
        <v>-210835.17</v>
      </c>
      <c r="H75" s="121">
        <v>-534728.73</v>
      </c>
      <c r="I75" s="121">
        <v>-208331.86232323016</v>
      </c>
      <c r="J75" s="34">
        <v>-71890.887890273007</v>
      </c>
      <c r="K75" s="34">
        <v>-259437.67497788859</v>
      </c>
      <c r="L75" s="34">
        <v>-98538.211583421697</v>
      </c>
      <c r="M75" s="486">
        <v>536415.01299321395</v>
      </c>
      <c r="N75" s="486">
        <v>88401.631580476766</v>
      </c>
      <c r="O75" s="251">
        <f>SUM(LisäyksetVähennykset[[#This Row],[Kuntien yhdistymisavustus (-0,99 €/as)]:[TE25: Uudistuksen rahoituksen siirtymäajan porrastus (50 % kustannusperusteinen / 50 % vos-kriteerit)]])</f>
        <v>-791382.07220112265</v>
      </c>
      <c r="P75" s="112"/>
    </row>
    <row r="76" spans="1:16" s="45" customFormat="1">
      <c r="A76" s="239">
        <v>226</v>
      </c>
      <c r="B76" s="239" t="s">
        <v>83</v>
      </c>
      <c r="C76" s="326">
        <v>-3588.75</v>
      </c>
      <c r="D76" s="121">
        <v>-6488.75</v>
      </c>
      <c r="E76" s="121">
        <v>-3588.75</v>
      </c>
      <c r="F76" s="121">
        <v>-36.25</v>
      </c>
      <c r="G76" s="121">
        <v>-89066.25</v>
      </c>
      <c r="H76" s="121">
        <v>-96689.97</v>
      </c>
      <c r="I76" s="121">
        <v>391225.04565508093</v>
      </c>
      <c r="J76" s="34">
        <v>138486.9644386927</v>
      </c>
      <c r="K76" s="34">
        <v>-110524.12865209364</v>
      </c>
      <c r="L76" s="34">
        <v>-41626.968533959174</v>
      </c>
      <c r="M76" s="486">
        <v>220733.80584834173</v>
      </c>
      <c r="N76" s="486">
        <v>88586.646722965117</v>
      </c>
      <c r="O76" s="251">
        <f>SUM(LisäyksetVähennykset[[#This Row],[Kuntien yhdistymisavustus (-0,99 €/as)]:[TE25: Uudistuksen rahoituksen siirtymäajan porrastus (50 % kustannusperusteinen / 50 % vos-kriteerit)]])</f>
        <v>487422.64547902765</v>
      </c>
      <c r="P76" s="112"/>
    </row>
    <row r="77" spans="1:16" s="45" customFormat="1">
      <c r="A77" s="239">
        <v>230</v>
      </c>
      <c r="B77" s="239" t="s">
        <v>84</v>
      </c>
      <c r="C77" s="326">
        <v>-2193.84</v>
      </c>
      <c r="D77" s="121">
        <v>-3966.64</v>
      </c>
      <c r="E77" s="121">
        <v>-2193.84</v>
      </c>
      <c r="F77" s="121">
        <v>-22.16</v>
      </c>
      <c r="G77" s="121">
        <v>-54447.12</v>
      </c>
      <c r="H77" s="121">
        <v>-29495.67</v>
      </c>
      <c r="I77" s="121">
        <v>27410.335717009206</v>
      </c>
      <c r="J77" s="34">
        <v>-4454.1261984783741</v>
      </c>
      <c r="K77" s="34">
        <v>-67550.899912875786</v>
      </c>
      <c r="L77" s="34">
        <v>-25446.996488621662</v>
      </c>
      <c r="M77" s="486">
        <v>155320.58292399131</v>
      </c>
      <c r="N77" s="486">
        <v>2197.219642363867</v>
      </c>
      <c r="O77" s="251">
        <f>SUM(LisäyksetVähennykset[[#This Row],[Kuntien yhdistymisavustus (-0,99 €/as)]:[TE25: Uudistuksen rahoituksen siirtymäajan porrastus (50 % kustannusperusteinen / 50 % vos-kriteerit)]])</f>
        <v>-4843.1543166114425</v>
      </c>
      <c r="P77" s="112"/>
    </row>
    <row r="78" spans="1:16" s="45" customFormat="1">
      <c r="A78" s="239">
        <v>231</v>
      </c>
      <c r="B78" s="239" t="s">
        <v>85</v>
      </c>
      <c r="C78" s="326">
        <v>-1195.92</v>
      </c>
      <c r="D78" s="121">
        <v>-2162.3200000000002</v>
      </c>
      <c r="E78" s="121">
        <v>-1195.92</v>
      </c>
      <c r="F78" s="121">
        <v>-12.08</v>
      </c>
      <c r="G78" s="121">
        <v>-29680.560000000001</v>
      </c>
      <c r="H78" s="121">
        <v>-22334.82</v>
      </c>
      <c r="I78" s="121">
        <v>-858531.67340093525</v>
      </c>
      <c r="J78" s="34">
        <v>-502008.62953351362</v>
      </c>
      <c r="K78" s="34">
        <v>-37876.754594005353</v>
      </c>
      <c r="L78" s="34">
        <v>-13871.828410764876</v>
      </c>
      <c r="M78" s="486">
        <v>46779.537654959298</v>
      </c>
      <c r="N78" s="486">
        <v>9937.8888237600477</v>
      </c>
      <c r="O78" s="251">
        <f>SUM(LisäyksetVähennykset[[#This Row],[Kuntien yhdistymisavustus (-0,99 €/as)]:[TE25: Uudistuksen rahoituksen siirtymäajan porrastus (50 % kustannusperusteinen / 50 % vos-kriteerit)]])</f>
        <v>-1412153.0794604998</v>
      </c>
      <c r="P78" s="112"/>
    </row>
    <row r="79" spans="1:16" s="45" customFormat="1">
      <c r="A79" s="239">
        <v>232</v>
      </c>
      <c r="B79" s="239" t="s">
        <v>86</v>
      </c>
      <c r="C79" s="326">
        <v>-12491.82</v>
      </c>
      <c r="D79" s="121">
        <v>-22586.22</v>
      </c>
      <c r="E79" s="121">
        <v>-12491.82</v>
      </c>
      <c r="F79" s="121">
        <v>-126.18</v>
      </c>
      <c r="G79" s="121">
        <v>-310024.26</v>
      </c>
      <c r="H79" s="121">
        <v>-493792.91</v>
      </c>
      <c r="I79" s="121">
        <v>-24608.004442204303</v>
      </c>
      <c r="J79" s="34">
        <v>-25352.727245803246</v>
      </c>
      <c r="K79" s="34">
        <v>-384497.30977194925</v>
      </c>
      <c r="L79" s="34">
        <v>-144896.30040317154</v>
      </c>
      <c r="M79" s="486">
        <v>661631.74199529714</v>
      </c>
      <c r="N79" s="486">
        <v>157889.43806014524</v>
      </c>
      <c r="O79" s="251">
        <f>SUM(LisäyksetVähennykset[[#This Row],[Kuntien yhdistymisavustus (-0,99 €/as)]:[TE25: Uudistuksen rahoituksen siirtymäajan porrastus (50 % kustannusperusteinen / 50 % vos-kriteerit)]])</f>
        <v>-611346.3718076857</v>
      </c>
      <c r="P79" s="112"/>
    </row>
    <row r="80" spans="1:16" s="45" customFormat="1">
      <c r="A80" s="239">
        <v>233</v>
      </c>
      <c r="B80" s="239" t="s">
        <v>87</v>
      </c>
      <c r="C80" s="326">
        <v>-15013.35</v>
      </c>
      <c r="D80" s="121">
        <v>-27145.350000000002</v>
      </c>
      <c r="E80" s="121">
        <v>-15013.35</v>
      </c>
      <c r="F80" s="121">
        <v>-151.65</v>
      </c>
      <c r="G80" s="121">
        <v>-372604.05</v>
      </c>
      <c r="H80" s="121">
        <v>-404445.62</v>
      </c>
      <c r="I80" s="121">
        <v>2112707.7632209132</v>
      </c>
      <c r="J80" s="34">
        <v>-22143.197737603397</v>
      </c>
      <c r="K80" s="34">
        <v>-455847.94780492433</v>
      </c>
      <c r="L80" s="34">
        <v>-174144.26974275609</v>
      </c>
      <c r="M80" s="486">
        <v>447967.17303425906</v>
      </c>
      <c r="N80" s="486">
        <v>-15567.460160761955</v>
      </c>
      <c r="O80" s="251">
        <f>SUM(LisäyksetVähennykset[[#This Row],[Kuntien yhdistymisavustus (-0,99 €/as)]:[TE25: Uudistuksen rahoituksen siirtymäajan porrastus (50 % kustannusperusteinen / 50 % vos-kriteerit)]])</f>
        <v>1058598.6908091265</v>
      </c>
      <c r="P80" s="112"/>
    </row>
    <row r="81" spans="1:16" s="45" customFormat="1">
      <c r="A81" s="239">
        <v>235</v>
      </c>
      <c r="B81" s="239" t="s">
        <v>88</v>
      </c>
      <c r="C81" s="326">
        <v>-10167.299999999999</v>
      </c>
      <c r="D81" s="121">
        <v>-18383.3</v>
      </c>
      <c r="E81" s="121">
        <v>-10167.299999999999</v>
      </c>
      <c r="F81" s="121">
        <v>-102.7</v>
      </c>
      <c r="G81" s="121">
        <v>-252333.9</v>
      </c>
      <c r="H81" s="121">
        <v>-348142.43</v>
      </c>
      <c r="I81" s="121">
        <v>9959939.9220709</v>
      </c>
      <c r="J81" s="34">
        <v>2842450.6121661188</v>
      </c>
      <c r="K81" s="34">
        <v>-310131.00656429224</v>
      </c>
      <c r="L81" s="34">
        <v>-117933.50809483053</v>
      </c>
      <c r="M81" s="486">
        <v>107855.81223466899</v>
      </c>
      <c r="N81" s="486">
        <v>-115366.51929227961</v>
      </c>
      <c r="O81" s="251">
        <f>SUM(LisäyksetVähennykset[[#This Row],[Kuntien yhdistymisavustus (-0,99 €/as)]:[TE25: Uudistuksen rahoituksen siirtymäajan porrastus (50 % kustannusperusteinen / 50 % vos-kriteerit)]])</f>
        <v>11727518.382520285</v>
      </c>
      <c r="P81" s="112"/>
    </row>
    <row r="82" spans="1:16" s="45" customFormat="1">
      <c r="A82" s="239">
        <v>236</v>
      </c>
      <c r="B82" s="239" t="s">
        <v>89</v>
      </c>
      <c r="C82" s="326">
        <v>-4095.63</v>
      </c>
      <c r="D82" s="121">
        <v>-7405.2300000000005</v>
      </c>
      <c r="E82" s="121">
        <v>-4095.63</v>
      </c>
      <c r="F82" s="121">
        <v>-41.37</v>
      </c>
      <c r="G82" s="121">
        <v>-101646.09</v>
      </c>
      <c r="H82" s="121">
        <v>-78222.539999999994</v>
      </c>
      <c r="I82" s="121">
        <v>68219.634809129624</v>
      </c>
      <c r="J82" s="34">
        <v>-210136.01069296981</v>
      </c>
      <c r="K82" s="34">
        <v>-126597.62403314846</v>
      </c>
      <c r="L82" s="34">
        <v>-47506.418986203884</v>
      </c>
      <c r="M82" s="486">
        <v>120082.43017642369</v>
      </c>
      <c r="N82" s="486">
        <v>-30482.456045805331</v>
      </c>
      <c r="O82" s="251">
        <f>SUM(LisäyksetVähennykset[[#This Row],[Kuntien yhdistymisavustus (-0,99 €/as)]:[TE25: Uudistuksen rahoituksen siirtymäajan porrastus (50 % kustannusperusteinen / 50 % vos-kriteerit)]])</f>
        <v>-421926.93477257423</v>
      </c>
      <c r="P82" s="112"/>
    </row>
    <row r="83" spans="1:16" s="45" customFormat="1">
      <c r="A83" s="239">
        <v>239</v>
      </c>
      <c r="B83" s="239" t="s">
        <v>90</v>
      </c>
      <c r="C83" s="326">
        <v>-2014.65</v>
      </c>
      <c r="D83" s="121">
        <v>-3642.65</v>
      </c>
      <c r="E83" s="121">
        <v>-2014.65</v>
      </c>
      <c r="F83" s="121">
        <v>-20.350000000000001</v>
      </c>
      <c r="G83" s="121">
        <v>-49999.95</v>
      </c>
      <c r="H83" s="121">
        <v>-58865.79</v>
      </c>
      <c r="I83" s="121">
        <v>275119.70624387899</v>
      </c>
      <c r="J83" s="34">
        <v>-187208.1626217693</v>
      </c>
      <c r="K83" s="34">
        <v>-61187.846394296859</v>
      </c>
      <c r="L83" s="34">
        <v>-23368.518887339837</v>
      </c>
      <c r="M83" s="486">
        <v>52983.364186655905</v>
      </c>
      <c r="N83" s="486">
        <v>4739.1220242137351</v>
      </c>
      <c r="O83" s="251">
        <f>SUM(LisäyksetVähennykset[[#This Row],[Kuntien yhdistymisavustus (-0,99 €/as)]:[TE25: Uudistuksen rahoituksen siirtymäajan porrastus (50 % kustannusperusteinen / 50 % vos-kriteerit)]])</f>
        <v>-55480.37544865736</v>
      </c>
      <c r="P83" s="112"/>
    </row>
    <row r="84" spans="1:16" s="45" customFormat="1">
      <c r="A84" s="239">
        <v>240</v>
      </c>
      <c r="B84" s="239" t="s">
        <v>91</v>
      </c>
      <c r="C84" s="326">
        <v>-19177.29</v>
      </c>
      <c r="D84" s="121">
        <v>-34674.090000000004</v>
      </c>
      <c r="E84" s="121">
        <v>-19177.29</v>
      </c>
      <c r="F84" s="121">
        <v>-193.71</v>
      </c>
      <c r="G84" s="121">
        <v>-475945.47000000003</v>
      </c>
      <c r="H84" s="121">
        <v>-1326738.58</v>
      </c>
      <c r="I84" s="121">
        <v>-7921581.4778817296</v>
      </c>
      <c r="J84" s="34">
        <v>-4490909.8217037171</v>
      </c>
      <c r="K84" s="34">
        <v>-588024.55241123436</v>
      </c>
      <c r="L84" s="34">
        <v>-222443.03654381327</v>
      </c>
      <c r="M84" s="486">
        <v>1076442.2995433707</v>
      </c>
      <c r="N84" s="486">
        <v>754393.66111528734</v>
      </c>
      <c r="O84" s="251">
        <f>SUM(LisäyksetVähennykset[[#This Row],[Kuntien yhdistymisavustus (-0,99 €/as)]:[TE25: Uudistuksen rahoituksen siirtymäajan porrastus (50 % kustannusperusteinen / 50 % vos-kriteerit)]])</f>
        <v>-13268029.357881835</v>
      </c>
      <c r="P84" s="112"/>
    </row>
    <row r="85" spans="1:16" s="45" customFormat="1">
      <c r="A85" s="239">
        <v>241</v>
      </c>
      <c r="B85" s="239" t="s">
        <v>92</v>
      </c>
      <c r="C85" s="326">
        <v>-7614.09</v>
      </c>
      <c r="D85" s="121">
        <v>-13766.89</v>
      </c>
      <c r="E85" s="121">
        <v>-7614.09</v>
      </c>
      <c r="F85" s="121">
        <v>-76.91</v>
      </c>
      <c r="G85" s="121">
        <v>-188967.87</v>
      </c>
      <c r="H85" s="121">
        <v>-147729.82999999999</v>
      </c>
      <c r="I85" s="121">
        <v>-1734954.3654760574</v>
      </c>
      <c r="J85" s="34">
        <v>-1019437.520259754</v>
      </c>
      <c r="K85" s="34">
        <v>-234347.3407245347</v>
      </c>
      <c r="L85" s="34">
        <v>-88318.073101980684</v>
      </c>
      <c r="M85" s="486">
        <v>299052.76508254994</v>
      </c>
      <c r="N85" s="486">
        <v>172159.67231640592</v>
      </c>
      <c r="O85" s="251">
        <f>SUM(LisäyksetVähennykset[[#This Row],[Kuntien yhdistymisavustus (-0,99 €/as)]:[TE25: Uudistuksen rahoituksen siirtymäajan porrastus (50 % kustannusperusteinen / 50 % vos-kriteerit)]])</f>
        <v>-2971614.5421633711</v>
      </c>
      <c r="P85" s="112"/>
    </row>
    <row r="86" spans="1:16" s="45" customFormat="1">
      <c r="A86" s="239">
        <v>244</v>
      </c>
      <c r="B86" s="239" t="s">
        <v>93</v>
      </c>
      <c r="C86" s="326">
        <v>-19318.86</v>
      </c>
      <c r="D86" s="121">
        <v>-34930.06</v>
      </c>
      <c r="E86" s="121">
        <v>-19318.86</v>
      </c>
      <c r="F86" s="121">
        <v>-195.14000000000001</v>
      </c>
      <c r="G86" s="121">
        <v>-479458.98</v>
      </c>
      <c r="H86" s="121">
        <v>-401124.48</v>
      </c>
      <c r="I86" s="121">
        <v>562866.68047525338</v>
      </c>
      <c r="J86" s="34">
        <v>-182363.35955622856</v>
      </c>
      <c r="K86" s="34">
        <v>-582023.37871361722</v>
      </c>
      <c r="L86" s="34">
        <v>-224085.14868184255</v>
      </c>
      <c r="M86" s="486">
        <v>661114.28346313501</v>
      </c>
      <c r="N86" s="486">
        <v>22126.939722138457</v>
      </c>
      <c r="O86" s="251">
        <f>SUM(LisäyksetVähennykset[[#This Row],[Kuntien yhdistymisavustus (-0,99 €/as)]:[TE25: Uudistuksen rahoituksen siirtymäajan porrastus (50 % kustannusperusteinen / 50 % vos-kriteerit)]])</f>
        <v>-696710.36329116125</v>
      </c>
      <c r="P86" s="112"/>
    </row>
    <row r="87" spans="1:16" s="45" customFormat="1">
      <c r="A87" s="239">
        <v>245</v>
      </c>
      <c r="B87" s="239" t="s">
        <v>94</v>
      </c>
      <c r="C87" s="326">
        <v>-37828.89</v>
      </c>
      <c r="D87" s="121">
        <v>-68397.69</v>
      </c>
      <c r="E87" s="121">
        <v>-37828.89</v>
      </c>
      <c r="F87" s="121">
        <v>-382.11</v>
      </c>
      <c r="G87" s="121">
        <v>-938844.27</v>
      </c>
      <c r="H87" s="121">
        <v>-4221222.0599999996</v>
      </c>
      <c r="I87" s="121">
        <v>-2329203.1207776675</v>
      </c>
      <c r="J87" s="34">
        <v>-74916.811899049644</v>
      </c>
      <c r="K87" s="34">
        <v>-1136182.0112131734</v>
      </c>
      <c r="L87" s="34">
        <v>-438788.43990375556</v>
      </c>
      <c r="M87" s="486">
        <v>1730561.8999086642</v>
      </c>
      <c r="N87" s="486">
        <v>-418743.66298034112</v>
      </c>
      <c r="O87" s="251">
        <f>SUM(LisäyksetVähennykset[[#This Row],[Kuntien yhdistymisavustus (-0,99 €/as)]:[TE25: Uudistuksen rahoituksen siirtymäajan porrastus (50 % kustannusperusteinen / 50 % vos-kriteerit)]])</f>
        <v>-7971776.0568653224</v>
      </c>
      <c r="P87" s="112"/>
    </row>
    <row r="88" spans="1:16" s="45" customFormat="1">
      <c r="A88" s="239">
        <v>249</v>
      </c>
      <c r="B88" s="239" t="s">
        <v>95</v>
      </c>
      <c r="C88" s="326">
        <v>-9092.16</v>
      </c>
      <c r="D88" s="121">
        <v>-16439.36</v>
      </c>
      <c r="E88" s="121">
        <v>-9092.16</v>
      </c>
      <c r="F88" s="121">
        <v>-91.84</v>
      </c>
      <c r="G88" s="121">
        <v>-225650.88</v>
      </c>
      <c r="H88" s="121">
        <v>-383529.28</v>
      </c>
      <c r="I88" s="121">
        <v>320418.75846249727</v>
      </c>
      <c r="J88" s="34">
        <v>510653.46720393928</v>
      </c>
      <c r="K88" s="34">
        <v>-278949.02865808079</v>
      </c>
      <c r="L88" s="34">
        <v>-105462.64248713959</v>
      </c>
      <c r="M88" s="486">
        <v>811247.26835366606</v>
      </c>
      <c r="N88" s="486">
        <v>189367.02151515987</v>
      </c>
      <c r="O88" s="251">
        <f>SUM(LisäyksetVähennykset[[#This Row],[Kuntien yhdistymisavustus (-0,99 €/as)]:[TE25: Uudistuksen rahoituksen siirtymäajan porrastus (50 % kustannusperusteinen / 50 % vos-kriteerit)]])</f>
        <v>803379.16439004207</v>
      </c>
      <c r="P88" s="112"/>
    </row>
    <row r="89" spans="1:16" s="45" customFormat="1">
      <c r="A89" s="239">
        <v>250</v>
      </c>
      <c r="B89" s="239" t="s">
        <v>96</v>
      </c>
      <c r="C89" s="326">
        <v>-1731.51</v>
      </c>
      <c r="D89" s="121">
        <v>-3130.71</v>
      </c>
      <c r="E89" s="121">
        <v>-1731.51</v>
      </c>
      <c r="F89" s="121">
        <v>-17.490000000000002</v>
      </c>
      <c r="G89" s="121">
        <v>-42972.93</v>
      </c>
      <c r="H89" s="121">
        <v>-44565.03</v>
      </c>
      <c r="I89" s="121">
        <v>72091.004245145552</v>
      </c>
      <c r="J89" s="34">
        <v>-3521.5435256719643</v>
      </c>
      <c r="K89" s="34">
        <v>-53407.430243617418</v>
      </c>
      <c r="L89" s="34">
        <v>-20084.294611281268</v>
      </c>
      <c r="M89" s="486">
        <v>96046.634196465311</v>
      </c>
      <c r="N89" s="486">
        <v>-18937.671639107655</v>
      </c>
      <c r="O89" s="251">
        <f>SUM(LisäyksetVähennykset[[#This Row],[Kuntien yhdistymisavustus (-0,99 €/as)]:[TE25: Uudistuksen rahoituksen siirtymäajan porrastus (50 % kustannusperusteinen / 50 % vos-kriteerit)]])</f>
        <v>-21962.481578067433</v>
      </c>
      <c r="P89" s="112"/>
    </row>
    <row r="90" spans="1:16" s="45" customFormat="1">
      <c r="A90" s="239">
        <v>256</v>
      </c>
      <c r="B90" s="239" t="s">
        <v>97</v>
      </c>
      <c r="C90" s="326">
        <v>-1507.77</v>
      </c>
      <c r="D90" s="121">
        <v>-2726.17</v>
      </c>
      <c r="E90" s="121">
        <v>-1507.77</v>
      </c>
      <c r="F90" s="121">
        <v>-15.23</v>
      </c>
      <c r="G90" s="121">
        <v>-37420.11</v>
      </c>
      <c r="H90" s="121">
        <v>-19726.57</v>
      </c>
      <c r="I90" s="121">
        <v>-362763.67221784615</v>
      </c>
      <c r="J90" s="34">
        <v>-415493.3586323373</v>
      </c>
      <c r="K90" s="34">
        <v>-46863.436814557579</v>
      </c>
      <c r="L90" s="34">
        <v>-17489.068435095123</v>
      </c>
      <c r="M90" s="486">
        <v>56619.720282913098</v>
      </c>
      <c r="N90" s="486">
        <v>105319.8241277042</v>
      </c>
      <c r="O90" s="251">
        <f>SUM(LisäyksetVähennykset[[#This Row],[Kuntien yhdistymisavustus (-0,99 €/as)]:[TE25: Uudistuksen rahoituksen siirtymäajan porrastus (50 % kustannusperusteinen / 50 % vos-kriteerit)]])</f>
        <v>-743573.61168921879</v>
      </c>
      <c r="P90" s="112"/>
    </row>
    <row r="91" spans="1:16" s="45" customFormat="1">
      <c r="A91" s="239">
        <v>257</v>
      </c>
      <c r="B91" s="239" t="s">
        <v>98</v>
      </c>
      <c r="C91" s="326">
        <v>-40742.46</v>
      </c>
      <c r="D91" s="121">
        <v>-73665.66</v>
      </c>
      <c r="E91" s="121">
        <v>-40742.46</v>
      </c>
      <c r="F91" s="121">
        <v>-411.54</v>
      </c>
      <c r="G91" s="121">
        <v>-1011153.78</v>
      </c>
      <c r="H91" s="121">
        <v>-2355334.1800000002</v>
      </c>
      <c r="I91" s="121">
        <v>6725341.0657557379</v>
      </c>
      <c r="J91" s="34">
        <v>3336414.5270224968</v>
      </c>
      <c r="K91" s="34">
        <v>-1228039.1724339856</v>
      </c>
      <c r="L91" s="34">
        <v>-472583.7967024981</v>
      </c>
      <c r="M91" s="486">
        <v>1203900.2007343438</v>
      </c>
      <c r="N91" s="486">
        <v>-325777.56655047997</v>
      </c>
      <c r="O91" s="251">
        <f>SUM(LisäyksetVähennykset[[#This Row],[Kuntien yhdistymisavustus (-0,99 €/as)]:[TE25: Uudistuksen rahoituksen siirtymäajan porrastus (50 % kustannusperusteinen / 50 % vos-kriteerit)]])</f>
        <v>5717205.1778256148</v>
      </c>
      <c r="P91" s="112"/>
    </row>
    <row r="92" spans="1:16" s="45" customFormat="1">
      <c r="A92" s="239">
        <v>260</v>
      </c>
      <c r="B92" s="239" t="s">
        <v>99</v>
      </c>
      <c r="C92" s="326">
        <v>-9592.11</v>
      </c>
      <c r="D92" s="121">
        <v>-17343.310000000001</v>
      </c>
      <c r="E92" s="121">
        <v>-9592.11</v>
      </c>
      <c r="F92" s="121">
        <v>-96.89</v>
      </c>
      <c r="G92" s="121">
        <v>-238058.73</v>
      </c>
      <c r="H92" s="121">
        <v>-287318.24</v>
      </c>
      <c r="I92" s="121">
        <v>2819458.0556181567</v>
      </c>
      <c r="J92" s="34">
        <v>1480705.7616879875</v>
      </c>
      <c r="K92" s="34">
        <v>-293333.75154131377</v>
      </c>
      <c r="L92" s="34">
        <v>-111261.70982773253</v>
      </c>
      <c r="M92" s="486">
        <v>452936.70176236902</v>
      </c>
      <c r="N92" s="486">
        <v>322932.84633750888</v>
      </c>
      <c r="O92" s="251">
        <f>SUM(LisäyksetVähennykset[[#This Row],[Kuntien yhdistymisavustus (-0,99 €/as)]:[TE25: Uudistuksen rahoituksen siirtymäajan porrastus (50 % kustannusperusteinen / 50 % vos-kriteerit)]])</f>
        <v>4109436.5140369753</v>
      </c>
      <c r="P92" s="112"/>
    </row>
    <row r="93" spans="1:16" s="45" customFormat="1">
      <c r="A93" s="239">
        <v>261</v>
      </c>
      <c r="B93" s="239" t="s">
        <v>100</v>
      </c>
      <c r="C93" s="326">
        <v>-6753.78</v>
      </c>
      <c r="D93" s="121">
        <v>-12211.380000000001</v>
      </c>
      <c r="E93" s="121">
        <v>-6753.78</v>
      </c>
      <c r="F93" s="121">
        <v>-68.22</v>
      </c>
      <c r="G93" s="121">
        <v>-167616.54</v>
      </c>
      <c r="H93" s="121">
        <v>-93977.42</v>
      </c>
      <c r="I93" s="121">
        <v>609645.5223547935</v>
      </c>
      <c r="J93" s="34">
        <v>1727910.194097884</v>
      </c>
      <c r="K93" s="34">
        <v>-200149.69764364135</v>
      </c>
      <c r="L93" s="34">
        <v>-78339.083955495022</v>
      </c>
      <c r="M93" s="486">
        <v>217308.11656047197</v>
      </c>
      <c r="N93" s="486">
        <v>257417.10018978571</v>
      </c>
      <c r="O93" s="251">
        <f>SUM(LisäyksetVähennykset[[#This Row],[Kuntien yhdistymisavustus (-0,99 €/as)]:[TE25: Uudistuksen rahoituksen siirtymäajan porrastus (50 % kustannusperusteinen / 50 % vos-kriteerit)]])</f>
        <v>2246411.0316037992</v>
      </c>
      <c r="P93" s="112"/>
    </row>
    <row r="94" spans="1:16" s="45" customFormat="1">
      <c r="A94" s="239">
        <v>263</v>
      </c>
      <c r="B94" s="239" t="s">
        <v>101</v>
      </c>
      <c r="C94" s="326">
        <v>-7400.25</v>
      </c>
      <c r="D94" s="121">
        <v>-13380.25</v>
      </c>
      <c r="E94" s="121">
        <v>-7400.25</v>
      </c>
      <c r="F94" s="121">
        <v>-74.75</v>
      </c>
      <c r="G94" s="121">
        <v>-183660.75</v>
      </c>
      <c r="H94" s="121">
        <v>-304647.18</v>
      </c>
      <c r="I94" s="121">
        <v>1099202.779954009</v>
      </c>
      <c r="J94" s="34">
        <v>355400.14552376774</v>
      </c>
      <c r="K94" s="34">
        <v>-229100.08332058811</v>
      </c>
      <c r="L94" s="34">
        <v>-85837.679942439951</v>
      </c>
      <c r="M94" s="486">
        <v>321467.68671890185</v>
      </c>
      <c r="N94" s="486">
        <v>102410.39606771216</v>
      </c>
      <c r="O94" s="251">
        <f>SUM(LisäyksetVähennykset[[#This Row],[Kuntien yhdistymisavustus (-0,99 €/as)]:[TE25: Uudistuksen rahoituksen siirtymäajan porrastus (50 % kustannusperusteinen / 50 % vos-kriteerit)]])</f>
        <v>1046979.8150013627</v>
      </c>
      <c r="P94" s="112"/>
    </row>
    <row r="95" spans="1:16" s="45" customFormat="1">
      <c r="A95" s="239">
        <v>265</v>
      </c>
      <c r="B95" s="239" t="s">
        <v>102</v>
      </c>
      <c r="C95" s="326">
        <v>-1024.6500000000001</v>
      </c>
      <c r="D95" s="121">
        <v>-1852.65</v>
      </c>
      <c r="E95" s="121">
        <v>-1024.6500000000001</v>
      </c>
      <c r="F95" s="121">
        <v>-10.35</v>
      </c>
      <c r="G95" s="121">
        <v>-25429.95</v>
      </c>
      <c r="H95" s="121">
        <v>-34368.5</v>
      </c>
      <c r="I95" s="121">
        <v>405500.36943385511</v>
      </c>
      <c r="J95" s="34">
        <v>151329.32501261614</v>
      </c>
      <c r="K95" s="34">
        <v>-32086.677458615999</v>
      </c>
      <c r="L95" s="34">
        <v>-11885.217222799378</v>
      </c>
      <c r="M95" s="486">
        <v>41838.376239138408</v>
      </c>
      <c r="N95" s="486">
        <v>-9431.0852880632883</v>
      </c>
      <c r="O95" s="251">
        <f>SUM(LisäyksetVähennykset[[#This Row],[Kuntien yhdistymisavustus (-0,99 €/as)]:[TE25: Uudistuksen rahoituksen siirtymäajan porrastus (50 % kustannusperusteinen / 50 % vos-kriteerit)]])</f>
        <v>481554.34071613109</v>
      </c>
      <c r="P95" s="112"/>
    </row>
    <row r="96" spans="1:16" s="45" customFormat="1">
      <c r="A96" s="239">
        <v>271</v>
      </c>
      <c r="B96" s="239" t="s">
        <v>103</v>
      </c>
      <c r="C96" s="326">
        <v>-6698.34</v>
      </c>
      <c r="D96" s="121">
        <v>-12111.14</v>
      </c>
      <c r="E96" s="121">
        <v>-6698.34</v>
      </c>
      <c r="F96" s="121">
        <v>-67.66</v>
      </c>
      <c r="G96" s="121">
        <v>-166240.62</v>
      </c>
      <c r="H96" s="121">
        <v>-267065.61</v>
      </c>
      <c r="I96" s="121">
        <v>-696417.97751523822</v>
      </c>
      <c r="J96" s="34">
        <v>-289197.601731695</v>
      </c>
      <c r="K96" s="34">
        <v>-208171.36700829535</v>
      </c>
      <c r="L96" s="34">
        <v>-77696.019062280757</v>
      </c>
      <c r="M96" s="486">
        <v>491867.1777064018</v>
      </c>
      <c r="N96" s="486">
        <v>-37671.202004410385</v>
      </c>
      <c r="O96" s="251">
        <f>SUM(LisäyksetVähennykset[[#This Row],[Kuntien yhdistymisavustus (-0,99 €/as)]:[TE25: Uudistuksen rahoituksen siirtymäajan porrastus (50 % kustannusperusteinen / 50 % vos-kriteerit)]])</f>
        <v>-1276168.6996155179</v>
      </c>
      <c r="P96" s="112"/>
    </row>
    <row r="97" spans="1:16" s="45" customFormat="1">
      <c r="A97" s="239">
        <v>272</v>
      </c>
      <c r="B97" s="239" t="s">
        <v>104</v>
      </c>
      <c r="C97" s="326">
        <v>-47812.05</v>
      </c>
      <c r="D97" s="121">
        <v>-86448.05</v>
      </c>
      <c r="E97" s="121">
        <v>-47812.05</v>
      </c>
      <c r="F97" s="121">
        <v>-482.95</v>
      </c>
      <c r="G97" s="121">
        <v>-1186608.1499999999</v>
      </c>
      <c r="H97" s="121">
        <v>-1716918.33</v>
      </c>
      <c r="I97" s="121">
        <v>-9738230.4455543701</v>
      </c>
      <c r="J97" s="34">
        <v>-3897115.8460639324</v>
      </c>
      <c r="K97" s="34">
        <v>-1447700.2237578193</v>
      </c>
      <c r="L97" s="34">
        <v>-554586.05388898158</v>
      </c>
      <c r="M97" s="486">
        <v>1723871.8277831194</v>
      </c>
      <c r="N97" s="486">
        <v>336471.09710727539</v>
      </c>
      <c r="O97" s="251">
        <f>SUM(LisäyksetVähennykset[[#This Row],[Kuntien yhdistymisavustus (-0,99 €/as)]:[TE25: Uudistuksen rahoituksen siirtymäajan porrastus (50 % kustannusperusteinen / 50 % vos-kriteerit)]])</f>
        <v>-16663371.224374708</v>
      </c>
      <c r="P97" s="112"/>
    </row>
    <row r="98" spans="1:16" s="45" customFormat="1">
      <c r="A98" s="239">
        <v>273</v>
      </c>
      <c r="B98" s="239" t="s">
        <v>105</v>
      </c>
      <c r="C98" s="326">
        <v>-3970.89</v>
      </c>
      <c r="D98" s="121">
        <v>-7179.6900000000005</v>
      </c>
      <c r="E98" s="121">
        <v>-3970.89</v>
      </c>
      <c r="F98" s="121">
        <v>-40.11</v>
      </c>
      <c r="G98" s="121">
        <v>-98550.27</v>
      </c>
      <c r="H98" s="121">
        <v>-50134.47</v>
      </c>
      <c r="I98" s="121">
        <v>-709382.42537295585</v>
      </c>
      <c r="J98" s="34">
        <v>883316.78264164354</v>
      </c>
      <c r="K98" s="34">
        <v>-120596.45033553138</v>
      </c>
      <c r="L98" s="34">
        <v>-46059.522976471788</v>
      </c>
      <c r="M98" s="486">
        <v>110023.6460623637</v>
      </c>
      <c r="N98" s="486">
        <v>115590.07701330056</v>
      </c>
      <c r="O98" s="251">
        <f>SUM(LisäyksetVähennykset[[#This Row],[Kuntien yhdistymisavustus (-0,99 €/as)]:[TE25: Uudistuksen rahoituksen siirtymäajan porrastus (50 % kustannusperusteinen / 50 % vos-kriteerit)]])</f>
        <v>69045.787032348715</v>
      </c>
      <c r="P98" s="112"/>
    </row>
    <row r="99" spans="1:16" s="45" customFormat="1">
      <c r="A99" s="239">
        <v>275</v>
      </c>
      <c r="B99" s="239" t="s">
        <v>106</v>
      </c>
      <c r="C99" s="326">
        <v>-2474.0099999999998</v>
      </c>
      <c r="D99" s="121">
        <v>-4473.21</v>
      </c>
      <c r="E99" s="121">
        <v>-2474.0099999999998</v>
      </c>
      <c r="F99" s="121">
        <v>-24.990000000000002</v>
      </c>
      <c r="G99" s="121">
        <v>-61400.43</v>
      </c>
      <c r="H99" s="121">
        <v>-61170.45</v>
      </c>
      <c r="I99" s="121">
        <v>181636.64018939339</v>
      </c>
      <c r="J99" s="34">
        <v>190636.76267541875</v>
      </c>
      <c r="K99" s="34">
        <v>-76024.919053732083</v>
      </c>
      <c r="L99" s="34">
        <v>-28696.77085968661</v>
      </c>
      <c r="M99" s="486">
        <v>143997.92338687764</v>
      </c>
      <c r="N99" s="486">
        <v>36362.387717743055</v>
      </c>
      <c r="O99" s="251">
        <f>SUM(LisäyksetVähennykset[[#This Row],[Kuntien yhdistymisavustus (-0,99 €/as)]:[TE25: Uudistuksen rahoituksen siirtymäajan porrastus (50 % kustannusperusteinen / 50 % vos-kriteerit)]])</f>
        <v>315894.92405601416</v>
      </c>
      <c r="P99" s="112"/>
    </row>
    <row r="100" spans="1:16" s="45" customFormat="1">
      <c r="A100" s="239">
        <v>276</v>
      </c>
      <c r="B100" s="239" t="s">
        <v>107</v>
      </c>
      <c r="C100" s="326">
        <v>-14984.64</v>
      </c>
      <c r="D100" s="121">
        <v>-27093.440000000002</v>
      </c>
      <c r="E100" s="121">
        <v>-14984.64</v>
      </c>
      <c r="F100" s="121">
        <v>-151.36000000000001</v>
      </c>
      <c r="G100" s="121">
        <v>-371891.52</v>
      </c>
      <c r="H100" s="121">
        <v>-469291.76</v>
      </c>
      <c r="I100" s="121">
        <v>1188832.1994041498</v>
      </c>
      <c r="J100" s="34">
        <v>-30138.924459971746</v>
      </c>
      <c r="K100" s="34">
        <v>-457084.37052654388</v>
      </c>
      <c r="L100" s="34">
        <v>-173811.2539944844</v>
      </c>
      <c r="M100" s="486">
        <v>506644.39112731232</v>
      </c>
      <c r="N100" s="486">
        <v>135848.79799310642</v>
      </c>
      <c r="O100" s="251">
        <f>SUM(LisäyksetVähennykset[[#This Row],[Kuntien yhdistymisavustus (-0,99 €/as)]:[TE25: Uudistuksen rahoituksen siirtymäajan porrastus (50 % kustannusperusteinen / 50 % vos-kriteerit)]])</f>
        <v>271893.47954356839</v>
      </c>
      <c r="P100" s="112"/>
    </row>
    <row r="101" spans="1:16" s="45" customFormat="1">
      <c r="A101" s="239">
        <v>280</v>
      </c>
      <c r="B101" s="239" t="s">
        <v>108</v>
      </c>
      <c r="C101" s="326">
        <v>-1994.85</v>
      </c>
      <c r="D101" s="121">
        <v>-3606.85</v>
      </c>
      <c r="E101" s="121">
        <v>-1994.85</v>
      </c>
      <c r="F101" s="121">
        <v>-20.150000000000002</v>
      </c>
      <c r="G101" s="121">
        <v>-49508.55</v>
      </c>
      <c r="H101" s="121">
        <v>-31441.200000000001</v>
      </c>
      <c r="I101" s="121">
        <v>104754.44466070471</v>
      </c>
      <c r="J101" s="34">
        <v>257934.71610923455</v>
      </c>
      <c r="K101" s="34">
        <v>-61037.063135562763</v>
      </c>
      <c r="L101" s="34">
        <v>-23138.85285404903</v>
      </c>
      <c r="M101" s="486">
        <v>86845.478161897903</v>
      </c>
      <c r="N101" s="486">
        <v>-9885.6108135111863</v>
      </c>
      <c r="O101" s="251">
        <f>SUM(LisäyksetVähennykset[[#This Row],[Kuntien yhdistymisavustus (-0,99 €/as)]:[TE25: Uudistuksen rahoituksen siirtymäajan porrastus (50 % kustannusperusteinen / 50 % vos-kriteerit)]])</f>
        <v>266906.66212871415</v>
      </c>
      <c r="P101" s="112"/>
    </row>
    <row r="102" spans="1:16" s="45" customFormat="1">
      <c r="A102" s="239">
        <v>284</v>
      </c>
      <c r="B102" s="239" t="s">
        <v>109</v>
      </c>
      <c r="C102" s="326">
        <v>-2184.9299999999998</v>
      </c>
      <c r="D102" s="121">
        <v>-3950.53</v>
      </c>
      <c r="E102" s="121">
        <v>-2184.9299999999998</v>
      </c>
      <c r="F102" s="121">
        <v>-22.07</v>
      </c>
      <c r="G102" s="121">
        <v>-54225.99</v>
      </c>
      <c r="H102" s="121">
        <v>-37974.18</v>
      </c>
      <c r="I102" s="121">
        <v>495656.02135161019</v>
      </c>
      <c r="J102" s="34">
        <v>398077.20754315564</v>
      </c>
      <c r="K102" s="34">
        <v>-67158.86344016713</v>
      </c>
      <c r="L102" s="34">
        <v>-25343.646773640798</v>
      </c>
      <c r="M102" s="486">
        <v>87024.389776757715</v>
      </c>
      <c r="N102" s="486">
        <v>-25749.781563754354</v>
      </c>
      <c r="O102" s="251">
        <f>SUM(LisäyksetVähennykset[[#This Row],[Kuntien yhdistymisavustus (-0,99 €/as)]:[TE25: Uudistuksen rahoituksen siirtymäajan porrastus (50 % kustannusperusteinen / 50 % vos-kriteerit)]])</f>
        <v>761962.69689396129</v>
      </c>
      <c r="P102" s="112"/>
    </row>
    <row r="103" spans="1:16" s="45" customFormat="1">
      <c r="A103" s="239">
        <v>285</v>
      </c>
      <c r="B103" s="239" t="s">
        <v>110</v>
      </c>
      <c r="C103" s="326">
        <v>-49995</v>
      </c>
      <c r="D103" s="121">
        <v>-90395</v>
      </c>
      <c r="E103" s="121">
        <v>-49995</v>
      </c>
      <c r="F103" s="121">
        <v>-505</v>
      </c>
      <c r="G103" s="121">
        <v>-1240785</v>
      </c>
      <c r="H103" s="121">
        <v>-3971676.12</v>
      </c>
      <c r="I103" s="121">
        <v>-9381746.5097380839</v>
      </c>
      <c r="J103" s="34">
        <v>-1750270.64448177</v>
      </c>
      <c r="K103" s="34">
        <v>-1526439.2414687651</v>
      </c>
      <c r="L103" s="34">
        <v>-579906.73405929329</v>
      </c>
      <c r="M103" s="486">
        <v>2531911.9897187669</v>
      </c>
      <c r="N103" s="486">
        <v>1221432.8761678496</v>
      </c>
      <c r="O103" s="251">
        <f>SUM(LisäyksetVähennykset[[#This Row],[Kuntien yhdistymisavustus (-0,99 €/as)]:[TE25: Uudistuksen rahoituksen siirtymäajan porrastus (50 % kustannusperusteinen / 50 % vos-kriteerit)]])</f>
        <v>-14888369.383861296</v>
      </c>
      <c r="P103" s="112"/>
    </row>
    <row r="104" spans="1:16" s="45" customFormat="1">
      <c r="A104" s="239">
        <v>286</v>
      </c>
      <c r="B104" s="239" t="s">
        <v>111</v>
      </c>
      <c r="C104" s="326">
        <v>-78091.199999999997</v>
      </c>
      <c r="D104" s="121">
        <v>-141195.20000000001</v>
      </c>
      <c r="E104" s="121">
        <v>-78091.199999999997</v>
      </c>
      <c r="F104" s="121">
        <v>-788.80000000000007</v>
      </c>
      <c r="G104" s="121">
        <v>-1938081.6</v>
      </c>
      <c r="H104" s="121">
        <v>-4206768.97</v>
      </c>
      <c r="I104" s="121">
        <v>-15065385.915309358</v>
      </c>
      <c r="J104" s="34">
        <v>-5728357.0487959608</v>
      </c>
      <c r="K104" s="34">
        <v>-2395312.6915981299</v>
      </c>
      <c r="L104" s="34">
        <v>-905802.8352989516</v>
      </c>
      <c r="M104" s="486">
        <v>3290555.4031940103</v>
      </c>
      <c r="N104" s="486">
        <v>1210725.6887345267</v>
      </c>
      <c r="O104" s="251">
        <f>SUM(LisäyksetVähennykset[[#This Row],[Kuntien yhdistymisavustus (-0,99 €/as)]:[TE25: Uudistuksen rahoituksen siirtymäajan porrastus (50 % kustannusperusteinen / 50 % vos-kriteerit)]])</f>
        <v>-26036594.36907386</v>
      </c>
      <c r="P104" s="112"/>
    </row>
    <row r="105" spans="1:16" s="45" customFormat="1">
      <c r="A105" s="239">
        <v>287</v>
      </c>
      <c r="B105" s="239" t="s">
        <v>112</v>
      </c>
      <c r="C105" s="326">
        <v>-6137.01</v>
      </c>
      <c r="D105" s="121">
        <v>-11096.210000000001</v>
      </c>
      <c r="E105" s="121">
        <v>-6137.01</v>
      </c>
      <c r="F105" s="121">
        <v>-61.99</v>
      </c>
      <c r="G105" s="121">
        <v>-152309.43</v>
      </c>
      <c r="H105" s="121">
        <v>-87018.71</v>
      </c>
      <c r="I105" s="121">
        <v>1343461.4410168238</v>
      </c>
      <c r="J105" s="34">
        <v>667932.69038778753</v>
      </c>
      <c r="K105" s="34">
        <v>-188237.82020364763</v>
      </c>
      <c r="L105" s="34">
        <v>-71184.98701848631</v>
      </c>
      <c r="M105" s="486">
        <v>89345.671418381593</v>
      </c>
      <c r="N105" s="486">
        <v>-68692.05480889391</v>
      </c>
      <c r="O105" s="251">
        <f>SUM(LisäyksetVähennykset[[#This Row],[Kuntien yhdistymisavustus (-0,99 €/as)]:[TE25: Uudistuksen rahoituksen siirtymäajan porrastus (50 % kustannusperusteinen / 50 % vos-kriteerit)]])</f>
        <v>1509864.5807919649</v>
      </c>
      <c r="P105" s="112"/>
    </row>
    <row r="106" spans="1:16" s="45" customFormat="1">
      <c r="A106" s="239">
        <v>288</v>
      </c>
      <c r="B106" s="239" t="s">
        <v>113</v>
      </c>
      <c r="C106" s="326">
        <v>-6304.32</v>
      </c>
      <c r="D106" s="121">
        <v>-11398.72</v>
      </c>
      <c r="E106" s="121">
        <v>-6304.32</v>
      </c>
      <c r="F106" s="121">
        <v>-63.68</v>
      </c>
      <c r="G106" s="121">
        <v>-156461.76000000001</v>
      </c>
      <c r="H106" s="121">
        <v>-63115.19</v>
      </c>
      <c r="I106" s="121">
        <v>2346.7919577659436</v>
      </c>
      <c r="J106" s="34">
        <v>-147916.25362139629</v>
      </c>
      <c r="K106" s="34">
        <v>-193153.3544383792</v>
      </c>
      <c r="L106" s="34">
        <v>-73125.664999793662</v>
      </c>
      <c r="M106" s="486">
        <v>191605.2700826042</v>
      </c>
      <c r="N106" s="486">
        <v>-36486.028638514719</v>
      </c>
      <c r="O106" s="251">
        <f>SUM(LisäyksetVähennykset[[#This Row],[Kuntien yhdistymisavustus (-0,99 €/as)]:[TE25: Uudistuksen rahoituksen siirtymäajan porrastus (50 % kustannusperusteinen / 50 % vos-kriteerit)]])</f>
        <v>-500377.22965771379</v>
      </c>
      <c r="P106" s="112"/>
    </row>
    <row r="107" spans="1:16" s="45" customFormat="1">
      <c r="A107" s="239">
        <v>290</v>
      </c>
      <c r="B107" s="239" t="s">
        <v>114</v>
      </c>
      <c r="C107" s="326">
        <v>-7506.18</v>
      </c>
      <c r="D107" s="121">
        <v>-13571.78</v>
      </c>
      <c r="E107" s="121">
        <v>-7506.18</v>
      </c>
      <c r="F107" s="121">
        <v>-75.820000000000007</v>
      </c>
      <c r="G107" s="121">
        <v>-186289.74</v>
      </c>
      <c r="H107" s="121">
        <v>-186678.81</v>
      </c>
      <c r="I107" s="121">
        <v>397021.42675954005</v>
      </c>
      <c r="J107" s="34">
        <v>576387.34069508372</v>
      </c>
      <c r="K107" s="34">
        <v>-233864.83429658561</v>
      </c>
      <c r="L107" s="34">
        <v>-87066.393220545768</v>
      </c>
      <c r="M107" s="486">
        <v>332602.48980097397</v>
      </c>
      <c r="N107" s="486">
        <v>555844.56782793161</v>
      </c>
      <c r="O107" s="251">
        <f>SUM(LisäyksetVähennykset[[#This Row],[Kuntien yhdistymisavustus (-0,99 €/as)]:[TE25: Uudistuksen rahoituksen siirtymäajan porrastus (50 % kustannusperusteinen / 50 % vos-kriteerit)]])</f>
        <v>1139296.0875663979</v>
      </c>
      <c r="P107" s="112"/>
    </row>
    <row r="108" spans="1:16" s="45" customFormat="1">
      <c r="A108" s="239">
        <v>291</v>
      </c>
      <c r="B108" s="239" t="s">
        <v>115</v>
      </c>
      <c r="C108" s="326">
        <v>-2071.08</v>
      </c>
      <c r="D108" s="121">
        <v>-3744.6800000000003</v>
      </c>
      <c r="E108" s="121">
        <v>-2071.08</v>
      </c>
      <c r="F108" s="121">
        <v>-20.92</v>
      </c>
      <c r="G108" s="121">
        <v>-51400.44</v>
      </c>
      <c r="H108" s="121">
        <v>-44869.38</v>
      </c>
      <c r="I108" s="121">
        <v>1054311.1390061574</v>
      </c>
      <c r="J108" s="34">
        <v>887432.56835060008</v>
      </c>
      <c r="K108" s="34">
        <v>-63901.945051510622</v>
      </c>
      <c r="L108" s="34">
        <v>-24023.067082218644</v>
      </c>
      <c r="M108" s="486">
        <v>104221.2387876336</v>
      </c>
      <c r="N108" s="486">
        <v>19673.755154165789</v>
      </c>
      <c r="O108" s="251">
        <f>SUM(LisäyksetVähennykset[[#This Row],[Kuntien yhdistymisavustus (-0,99 €/as)]:[TE25: Uudistuksen rahoituksen siirtymäajan porrastus (50 % kustannusperusteinen / 50 % vos-kriteerit)]])</f>
        <v>1873536.1091648275</v>
      </c>
      <c r="P108" s="112"/>
    </row>
    <row r="109" spans="1:16" s="45" customFormat="1">
      <c r="A109" s="239">
        <v>297</v>
      </c>
      <c r="B109" s="239" t="s">
        <v>116</v>
      </c>
      <c r="C109" s="326">
        <v>-122780.79</v>
      </c>
      <c r="D109" s="121">
        <v>-221997.59</v>
      </c>
      <c r="E109" s="121">
        <v>-122780.79</v>
      </c>
      <c r="F109" s="121">
        <v>-1240.21</v>
      </c>
      <c r="G109" s="121">
        <v>-3047195.97</v>
      </c>
      <c r="H109" s="121">
        <v>-9813154.1600000001</v>
      </c>
      <c r="I109" s="121">
        <v>-13124916.652892057</v>
      </c>
      <c r="J109" s="34">
        <v>-2940126.4475040399</v>
      </c>
      <c r="K109" s="34">
        <v>-3697024.5642495956</v>
      </c>
      <c r="L109" s="34">
        <v>-1424170.5557379725</v>
      </c>
      <c r="M109" s="486">
        <v>2566588.426436061</v>
      </c>
      <c r="N109" s="486">
        <v>-244055.3879450541</v>
      </c>
      <c r="O109" s="251">
        <f>SUM(LisäyksetVähennykset[[#This Row],[Kuntien yhdistymisavustus (-0,99 €/as)]:[TE25: Uudistuksen rahoituksen siirtymäajan porrastus (50 % kustannusperusteinen / 50 % vos-kriteerit)]])</f>
        <v>-32192854.691892661</v>
      </c>
      <c r="P109" s="112"/>
    </row>
    <row r="110" spans="1:16" s="45" customFormat="1">
      <c r="A110" s="237">
        <v>300</v>
      </c>
      <c r="B110" s="239" t="s">
        <v>117</v>
      </c>
      <c r="C110" s="326">
        <v>-3347.19</v>
      </c>
      <c r="D110" s="121">
        <v>-6051.99</v>
      </c>
      <c r="E110" s="121">
        <v>-3347.19</v>
      </c>
      <c r="F110" s="121">
        <v>-33.81</v>
      </c>
      <c r="G110" s="121">
        <v>-83071.17</v>
      </c>
      <c r="H110" s="121">
        <v>-60055.76</v>
      </c>
      <c r="I110" s="121">
        <v>1408655.442844271</v>
      </c>
      <c r="J110" s="121">
        <v>658304.48021181731</v>
      </c>
      <c r="K110" s="121">
        <v>-103648.4120538188</v>
      </c>
      <c r="L110" s="121">
        <v>-38825.042927811301</v>
      </c>
      <c r="M110" s="487">
        <v>68336.454363216923</v>
      </c>
      <c r="N110" s="487">
        <v>-24752.283608355458</v>
      </c>
      <c r="O110" s="251">
        <f>SUM(LisäyksetVähennykset[[#This Row],[Kuntien yhdistymisavustus (-0,99 €/as)]:[TE25: Uudistuksen rahoituksen siirtymäajan porrastus (50 % kustannusperusteinen / 50 % vos-kriteerit)]])</f>
        <v>1812163.5288293192</v>
      </c>
      <c r="P110" s="112"/>
    </row>
    <row r="111" spans="1:16" s="45" customFormat="1">
      <c r="A111" s="239">
        <v>301</v>
      </c>
      <c r="B111" s="239" t="s">
        <v>118</v>
      </c>
      <c r="C111" s="326">
        <v>-19561.41</v>
      </c>
      <c r="D111" s="121">
        <v>-35368.61</v>
      </c>
      <c r="E111" s="121">
        <v>-19561.41</v>
      </c>
      <c r="F111" s="121">
        <v>-197.59</v>
      </c>
      <c r="G111" s="121">
        <v>-485478.63</v>
      </c>
      <c r="H111" s="121">
        <v>-548094.81999999995</v>
      </c>
      <c r="I111" s="121">
        <v>-1712165.2490845402</v>
      </c>
      <c r="J111" s="34">
        <v>-1789992.2051884034</v>
      </c>
      <c r="K111" s="34">
        <v>-599815.80324424081</v>
      </c>
      <c r="L111" s="34">
        <v>-226898.55758965496</v>
      </c>
      <c r="M111" s="486">
        <v>724219.97566554113</v>
      </c>
      <c r="N111" s="486">
        <v>237846.01772522693</v>
      </c>
      <c r="O111" s="251">
        <f>SUM(LisäyksetVähennykset[[#This Row],[Kuntien yhdistymisavustus (-0,99 €/as)]:[TE25: Uudistuksen rahoituksen siirtymäajan porrastus (50 % kustannusperusteinen / 50 % vos-kriteerit)]])</f>
        <v>-4475068.2917160708</v>
      </c>
      <c r="P111" s="112"/>
    </row>
    <row r="112" spans="1:16" s="104" customFormat="1">
      <c r="A112" s="237">
        <v>304</v>
      </c>
      <c r="B112" s="239" t="s">
        <v>119</v>
      </c>
      <c r="C112" s="326">
        <v>-939.51</v>
      </c>
      <c r="D112" s="121">
        <v>-1698.71</v>
      </c>
      <c r="E112" s="121">
        <v>-939.51</v>
      </c>
      <c r="F112" s="121">
        <v>-9.49</v>
      </c>
      <c r="G112" s="121">
        <v>-23316.93</v>
      </c>
      <c r="H112" s="121">
        <v>-18383.330000000002</v>
      </c>
      <c r="I112" s="121">
        <v>-267929.99604301376</v>
      </c>
      <c r="J112" s="121">
        <v>-2393.041359346274</v>
      </c>
      <c r="K112" s="121">
        <v>-28648.819159478571</v>
      </c>
      <c r="L112" s="121">
        <v>-10897.653279648897</v>
      </c>
      <c r="M112" s="487">
        <v>17393.835863849803</v>
      </c>
      <c r="N112" s="487">
        <v>21223.415323758971</v>
      </c>
      <c r="O112" s="251">
        <f>SUM(LisäyksetVähennykset[[#This Row],[Kuntien yhdistymisavustus (-0,99 €/as)]:[TE25: Uudistuksen rahoituksen siirtymäajan porrastus (50 % kustannusperusteinen / 50 % vos-kriteerit)]])</f>
        <v>-316539.7386538788</v>
      </c>
      <c r="P112" s="60"/>
    </row>
    <row r="113" spans="1:16" s="45" customFormat="1">
      <c r="A113" s="239">
        <v>305</v>
      </c>
      <c r="B113" s="239" t="s">
        <v>120</v>
      </c>
      <c r="C113" s="326">
        <v>-14868.81</v>
      </c>
      <c r="D113" s="121">
        <v>-26884.010000000002</v>
      </c>
      <c r="E113" s="121">
        <v>-14868.81</v>
      </c>
      <c r="F113" s="121">
        <v>-150.19</v>
      </c>
      <c r="G113" s="121">
        <v>-369016.83</v>
      </c>
      <c r="H113" s="121">
        <v>-383710.86</v>
      </c>
      <c r="I113" s="121">
        <v>705386.39323019725</v>
      </c>
      <c r="J113" s="34">
        <v>1009898.9847974943</v>
      </c>
      <c r="K113" s="34">
        <v>-456752.64735732885</v>
      </c>
      <c r="L113" s="34">
        <v>-172467.70769973318</v>
      </c>
      <c r="M113" s="486">
        <v>826203.6637767629</v>
      </c>
      <c r="N113" s="486">
        <v>247592.8937345962</v>
      </c>
      <c r="O113" s="251">
        <f>SUM(LisäyksetVähennykset[[#This Row],[Kuntien yhdistymisavustus (-0,99 €/as)]:[TE25: Uudistuksen rahoituksen siirtymäajan porrastus (50 % kustannusperusteinen / 50 % vos-kriteerit)]])</f>
        <v>1350362.0704819886</v>
      </c>
      <c r="P113" s="112"/>
    </row>
    <row r="114" spans="1:16" s="45" customFormat="1">
      <c r="A114" s="239">
        <v>309</v>
      </c>
      <c r="B114" s="239" t="s">
        <v>121</v>
      </c>
      <c r="C114" s="326">
        <v>-6344.91</v>
      </c>
      <c r="D114" s="121">
        <v>-11472.11</v>
      </c>
      <c r="E114" s="121">
        <v>-6344.91</v>
      </c>
      <c r="F114" s="121">
        <v>-64.09</v>
      </c>
      <c r="G114" s="121">
        <v>-157469.13</v>
      </c>
      <c r="H114" s="121">
        <v>-496126.59</v>
      </c>
      <c r="I114" s="121">
        <v>-1326691.3805399276</v>
      </c>
      <c r="J114" s="34">
        <v>-899522.3352077232</v>
      </c>
      <c r="K114" s="34">
        <v>-194721.50032921383</v>
      </c>
      <c r="L114" s="34">
        <v>-73596.480368039818</v>
      </c>
      <c r="M114" s="486">
        <v>456450.37067146297</v>
      </c>
      <c r="N114" s="486">
        <v>175497.04877322062</v>
      </c>
      <c r="O114" s="251">
        <f>SUM(LisäyksetVähennykset[[#This Row],[Kuntien yhdistymisavustus (-0,99 €/as)]:[TE25: Uudistuksen rahoituksen siirtymäajan porrastus (50 % kustannusperusteinen / 50 % vos-kriteerit)]])</f>
        <v>-2540406.0170002207</v>
      </c>
      <c r="P114" s="112"/>
    </row>
    <row r="115" spans="1:16" s="45" customFormat="1">
      <c r="A115" s="239">
        <v>312</v>
      </c>
      <c r="B115" s="239" t="s">
        <v>122</v>
      </c>
      <c r="C115" s="326">
        <v>-1162.26</v>
      </c>
      <c r="D115" s="121">
        <v>-2101.46</v>
      </c>
      <c r="E115" s="121">
        <v>-1162.26</v>
      </c>
      <c r="F115" s="121">
        <v>-11.74</v>
      </c>
      <c r="G115" s="121">
        <v>-28845.18</v>
      </c>
      <c r="H115" s="121">
        <v>-17970.22</v>
      </c>
      <c r="I115" s="121">
        <v>-92720.845587725125</v>
      </c>
      <c r="J115" s="34">
        <v>-112297.64095590654</v>
      </c>
      <c r="K115" s="34">
        <v>-36067.355489196176</v>
      </c>
      <c r="L115" s="34">
        <v>-13481.396154170501</v>
      </c>
      <c r="M115" s="486">
        <v>87511.863550312206</v>
      </c>
      <c r="N115" s="486">
        <v>-5033.1405743202195</v>
      </c>
      <c r="O115" s="251">
        <f>SUM(LisäyksetVähennykset[[#This Row],[Kuntien yhdistymisavustus (-0,99 €/as)]:[TE25: Uudistuksen rahoituksen siirtymäajan porrastus (50 % kustannusperusteinen / 50 % vos-kriteerit)]])</f>
        <v>-223341.63521100636</v>
      </c>
      <c r="P115" s="112"/>
    </row>
    <row r="116" spans="1:16" s="45" customFormat="1">
      <c r="A116" s="239">
        <v>316</v>
      </c>
      <c r="B116" s="239" t="s">
        <v>123</v>
      </c>
      <c r="C116" s="326">
        <v>-4072.86</v>
      </c>
      <c r="D116" s="121">
        <v>-7364.06</v>
      </c>
      <c r="E116" s="121">
        <v>-4072.86</v>
      </c>
      <c r="F116" s="121">
        <v>-41.14</v>
      </c>
      <c r="G116" s="121">
        <v>-101080.98</v>
      </c>
      <c r="H116" s="121">
        <v>-346205.06</v>
      </c>
      <c r="I116" s="121">
        <v>-213827.08672629786</v>
      </c>
      <c r="J116" s="34">
        <v>-123554.58246553405</v>
      </c>
      <c r="K116" s="34">
        <v>-126597.62403314846</v>
      </c>
      <c r="L116" s="34">
        <v>-47242.303047919457</v>
      </c>
      <c r="M116" s="486">
        <v>221465.72235582871</v>
      </c>
      <c r="N116" s="486">
        <v>59548.021412477246</v>
      </c>
      <c r="O116" s="251">
        <f>SUM(LisäyksetVähennykset[[#This Row],[Kuntien yhdistymisavustus (-0,99 €/as)]:[TE25: Uudistuksen rahoituksen siirtymäajan porrastus (50 % kustannusperusteinen / 50 % vos-kriteerit)]])</f>
        <v>-693044.81250459375</v>
      </c>
      <c r="P116" s="112"/>
    </row>
    <row r="117" spans="1:16" s="45" customFormat="1">
      <c r="A117" s="239">
        <v>317</v>
      </c>
      <c r="B117" s="239" t="s">
        <v>124</v>
      </c>
      <c r="C117" s="326">
        <v>-2415.6</v>
      </c>
      <c r="D117" s="121">
        <v>-4367.6000000000004</v>
      </c>
      <c r="E117" s="121">
        <v>-2415.6</v>
      </c>
      <c r="F117" s="121">
        <v>-24.400000000000002</v>
      </c>
      <c r="G117" s="121">
        <v>-59950.8</v>
      </c>
      <c r="H117" s="121">
        <v>-61603.76</v>
      </c>
      <c r="I117" s="121">
        <v>603167.07771725534</v>
      </c>
      <c r="J117" s="34">
        <v>182916.65417866025</v>
      </c>
      <c r="K117" s="34">
        <v>-74607.556421631554</v>
      </c>
      <c r="L117" s="34">
        <v>-28019.256061478725</v>
      </c>
      <c r="M117" s="486">
        <v>72162.395143372414</v>
      </c>
      <c r="N117" s="486">
        <v>24621.565833638335</v>
      </c>
      <c r="O117" s="251">
        <f>SUM(LisäyksetVähennykset[[#This Row],[Kuntien yhdistymisavustus (-0,99 €/as)]:[TE25: Uudistuksen rahoituksen siirtymäajan porrastus (50 % kustannusperusteinen / 50 % vos-kriteerit)]])</f>
        <v>649463.120389816</v>
      </c>
      <c r="P117" s="112"/>
    </row>
    <row r="118" spans="1:16" s="45" customFormat="1">
      <c r="A118" s="239">
        <v>320</v>
      </c>
      <c r="B118" s="239" t="s">
        <v>125</v>
      </c>
      <c r="C118" s="326">
        <v>-6959.7</v>
      </c>
      <c r="D118" s="121">
        <v>-12583.7</v>
      </c>
      <c r="E118" s="121">
        <v>-6959.7</v>
      </c>
      <c r="F118" s="121">
        <v>-70.3</v>
      </c>
      <c r="G118" s="121">
        <v>-172727.1</v>
      </c>
      <c r="H118" s="121">
        <v>-213479.33</v>
      </c>
      <c r="I118" s="121">
        <v>426974.0991582594</v>
      </c>
      <c r="J118" s="34">
        <v>602438.13169310184</v>
      </c>
      <c r="K118" s="34">
        <v>-210975.93562074957</v>
      </c>
      <c r="L118" s="34">
        <v>-80727.610701719444</v>
      </c>
      <c r="M118" s="486">
        <v>337314.3377577379</v>
      </c>
      <c r="N118" s="486">
        <v>67910.007603520178</v>
      </c>
      <c r="O118" s="251">
        <f>SUM(LisäyksetVähennykset[[#This Row],[Kuntien yhdistymisavustus (-0,99 €/as)]:[TE25: Uudistuksen rahoituksen siirtymäajan porrastus (50 % kustannusperusteinen / 50 % vos-kriteerit)]])</f>
        <v>730153.19989015034</v>
      </c>
      <c r="P118" s="112"/>
    </row>
    <row r="119" spans="1:16" s="45" customFormat="1">
      <c r="A119" s="239">
        <v>322</v>
      </c>
      <c r="B119" s="239" t="s">
        <v>126</v>
      </c>
      <c r="C119" s="326">
        <v>-6397.38</v>
      </c>
      <c r="D119" s="121">
        <v>-11566.98</v>
      </c>
      <c r="E119" s="121">
        <v>-6397.38</v>
      </c>
      <c r="F119" s="121">
        <v>-64.62</v>
      </c>
      <c r="G119" s="121">
        <v>-158771.34</v>
      </c>
      <c r="H119" s="121">
        <v>-166262.89000000001</v>
      </c>
      <c r="I119" s="121">
        <v>1131768.4655349874</v>
      </c>
      <c r="J119" s="34">
        <v>915796.91700026137</v>
      </c>
      <c r="K119" s="34">
        <v>-197495.91228992122</v>
      </c>
      <c r="L119" s="34">
        <v>-74205.095356260455</v>
      </c>
      <c r="M119" s="486">
        <v>121282.15696706448</v>
      </c>
      <c r="N119" s="486">
        <v>-32017.691244187852</v>
      </c>
      <c r="O119" s="251">
        <f>SUM(LisäyksetVähennykset[[#This Row],[Kuntien yhdistymisavustus (-0,99 €/as)]:[TE25: Uudistuksen rahoituksen siirtymäajan porrastus (50 % kustannusperusteinen / 50 % vos-kriteerit)]])</f>
        <v>1515668.2506119437</v>
      </c>
      <c r="P119" s="112"/>
    </row>
    <row r="120" spans="1:16" s="45" customFormat="1">
      <c r="A120" s="239">
        <v>398</v>
      </c>
      <c r="B120" s="239" t="s">
        <v>127</v>
      </c>
      <c r="C120" s="326">
        <v>-119486.06999999999</v>
      </c>
      <c r="D120" s="121">
        <v>-216040.47</v>
      </c>
      <c r="E120" s="121">
        <v>-119486.06999999999</v>
      </c>
      <c r="F120" s="121">
        <v>-1206.93</v>
      </c>
      <c r="G120" s="121">
        <v>-2965427.0100000002</v>
      </c>
      <c r="H120" s="121">
        <v>-12058214.52</v>
      </c>
      <c r="I120" s="121">
        <v>9513565.8256448787</v>
      </c>
      <c r="J120" s="34">
        <v>12142814.203296052</v>
      </c>
      <c r="K120" s="34">
        <v>-3624075.6236740393</v>
      </c>
      <c r="L120" s="34">
        <v>-1385954.1277983817</v>
      </c>
      <c r="M120" s="486">
        <v>3107047.1546566971</v>
      </c>
      <c r="N120" s="486">
        <v>-359938.62036992237</v>
      </c>
      <c r="O120" s="251">
        <f>SUM(LisäyksetVähennykset[[#This Row],[Kuntien yhdistymisavustus (-0,99 €/as)]:[TE25: Uudistuksen rahoituksen siirtymäajan porrastus (50 % kustannusperusteinen / 50 % vos-kriteerit)]])</f>
        <v>3913597.7417552844</v>
      </c>
      <c r="P120" s="112"/>
    </row>
    <row r="121" spans="1:16" s="104" customFormat="1">
      <c r="A121" s="237">
        <v>399</v>
      </c>
      <c r="B121" s="239" t="s">
        <v>128</v>
      </c>
      <c r="C121" s="326">
        <v>-7605.18</v>
      </c>
      <c r="D121" s="121">
        <v>-13750.78</v>
      </c>
      <c r="E121" s="121">
        <v>-7605.18</v>
      </c>
      <c r="F121" s="121">
        <v>-76.820000000000007</v>
      </c>
      <c r="G121" s="121">
        <v>-188746.74</v>
      </c>
      <c r="H121" s="121">
        <v>-172773.31</v>
      </c>
      <c r="I121" s="121">
        <v>-1523096.9655276879</v>
      </c>
      <c r="J121" s="121">
        <v>-1583240.1936757215</v>
      </c>
      <c r="K121" s="121">
        <v>-235734.54670488843</v>
      </c>
      <c r="L121" s="121">
        <v>-88214.723386999816</v>
      </c>
      <c r="M121" s="487">
        <v>216844.37315656018</v>
      </c>
      <c r="N121" s="487">
        <v>33650.291697538109</v>
      </c>
      <c r="O121" s="251">
        <f>SUM(LisäyksetVähennykset[[#This Row],[Kuntien yhdistymisavustus (-0,99 €/as)]:[TE25: Uudistuksen rahoituksen siirtymäajan porrastus (50 % kustannusperusteinen / 50 % vos-kriteerit)]])</f>
        <v>-3570349.7744411994</v>
      </c>
      <c r="P121" s="60"/>
    </row>
    <row r="122" spans="1:16" s="45" customFormat="1">
      <c r="A122" s="239">
        <v>400</v>
      </c>
      <c r="B122" s="239" t="s">
        <v>129</v>
      </c>
      <c r="C122" s="326">
        <v>-8356.59</v>
      </c>
      <c r="D122" s="121">
        <v>-15109.39</v>
      </c>
      <c r="E122" s="121">
        <v>-8356.59</v>
      </c>
      <c r="F122" s="121">
        <v>-84.41</v>
      </c>
      <c r="G122" s="121">
        <v>-207395.37</v>
      </c>
      <c r="H122" s="121">
        <v>-173535.94</v>
      </c>
      <c r="I122" s="121">
        <v>1536725.6861348208</v>
      </c>
      <c r="J122" s="34">
        <v>942577.88475593703</v>
      </c>
      <c r="K122" s="34">
        <v>-252290.54851389234</v>
      </c>
      <c r="L122" s="34">
        <v>-96930.549350386034</v>
      </c>
      <c r="M122" s="486">
        <v>275336.38565458701</v>
      </c>
      <c r="N122" s="486">
        <v>-34645.765260589484</v>
      </c>
      <c r="O122" s="251">
        <f>SUM(LisäyksetVähennykset[[#This Row],[Kuntien yhdistymisavustus (-0,99 €/as)]:[TE25: Uudistuksen rahoituksen siirtymäajan porrastus (50 % kustannusperusteinen / 50 % vos-kriteerit)]])</f>
        <v>1957934.8034204768</v>
      </c>
      <c r="P122" s="112"/>
    </row>
    <row r="123" spans="1:16" s="45" customFormat="1">
      <c r="A123" s="239">
        <v>402</v>
      </c>
      <c r="B123" s="239" t="s">
        <v>130</v>
      </c>
      <c r="C123" s="326">
        <v>-8885.25</v>
      </c>
      <c r="D123" s="121">
        <v>-16065.25</v>
      </c>
      <c r="E123" s="121">
        <v>-8885.25</v>
      </c>
      <c r="F123" s="121">
        <v>-89.75</v>
      </c>
      <c r="G123" s="121">
        <v>-220515.75</v>
      </c>
      <c r="H123" s="121">
        <v>-390143.63</v>
      </c>
      <c r="I123" s="121">
        <v>-1870815.0638287519</v>
      </c>
      <c r="J123" s="34">
        <v>-1467858.4535833444</v>
      </c>
      <c r="K123" s="34">
        <v>-274395.37424431107</v>
      </c>
      <c r="L123" s="34">
        <v>-103062.63243925064</v>
      </c>
      <c r="M123" s="486">
        <v>410445.25392134901</v>
      </c>
      <c r="N123" s="486">
        <v>101491.2399572588</v>
      </c>
      <c r="O123" s="251">
        <f>SUM(LisäyksetVähennykset[[#This Row],[Kuntien yhdistymisavustus (-0,99 €/as)]:[TE25: Uudistuksen rahoituksen siirtymäajan porrastus (50 % kustannusperusteinen / 50 % vos-kriteerit)]])</f>
        <v>-3848779.9102170505</v>
      </c>
      <c r="P123" s="112"/>
    </row>
    <row r="124" spans="1:16" s="45" customFormat="1">
      <c r="A124" s="239">
        <v>403</v>
      </c>
      <c r="B124" s="239" t="s">
        <v>131</v>
      </c>
      <c r="C124" s="326">
        <v>-2761.11</v>
      </c>
      <c r="D124" s="121">
        <v>-4992.3100000000004</v>
      </c>
      <c r="E124" s="121">
        <v>-2761.11</v>
      </c>
      <c r="F124" s="121">
        <v>-27.89</v>
      </c>
      <c r="G124" s="121">
        <v>-68525.73</v>
      </c>
      <c r="H124" s="121">
        <v>-48030.23</v>
      </c>
      <c r="I124" s="121">
        <v>275495.32735071267</v>
      </c>
      <c r="J124" s="34">
        <v>-5607.4267320129529</v>
      </c>
      <c r="K124" s="34">
        <v>-85041.757926031118</v>
      </c>
      <c r="L124" s="34">
        <v>-32026.928342403346</v>
      </c>
      <c r="M124" s="486">
        <v>71252.250560115805</v>
      </c>
      <c r="N124" s="486">
        <v>7904.9168086735444</v>
      </c>
      <c r="O124" s="251">
        <f>SUM(LisäyksetVähennykset[[#This Row],[Kuntien yhdistymisavustus (-0,99 €/as)]:[TE25: Uudistuksen rahoituksen siirtymäajan porrastus (50 % kustannusperusteinen / 50 % vos-kriteerit)]])</f>
        <v>104878.00171905461</v>
      </c>
      <c r="P124" s="112"/>
    </row>
    <row r="125" spans="1:16" s="45" customFormat="1">
      <c r="A125" s="239">
        <v>405</v>
      </c>
      <c r="B125" s="239" t="s">
        <v>132</v>
      </c>
      <c r="C125" s="326">
        <v>-72258.12</v>
      </c>
      <c r="D125" s="121">
        <v>-130648.52</v>
      </c>
      <c r="E125" s="121">
        <v>-72258.12</v>
      </c>
      <c r="F125" s="121">
        <v>-729.88</v>
      </c>
      <c r="G125" s="121">
        <v>-1793315.16</v>
      </c>
      <c r="H125" s="121">
        <v>-4620333.84</v>
      </c>
      <c r="I125" s="121">
        <v>-1920982.049424272</v>
      </c>
      <c r="J125" s="34">
        <v>458736.39883256354</v>
      </c>
      <c r="K125" s="34">
        <v>-2190880.7494064402</v>
      </c>
      <c r="L125" s="34">
        <v>-838143.2218914791</v>
      </c>
      <c r="M125" s="486">
        <v>3915041.4755051285</v>
      </c>
      <c r="N125" s="486">
        <v>688668.57582062948</v>
      </c>
      <c r="O125" s="251">
        <f>SUM(LisäyksetVähennykset[[#This Row],[Kuntien yhdistymisavustus (-0,99 €/as)]:[TE25: Uudistuksen rahoituksen siirtymäajan porrastus (50 % kustannusperusteinen / 50 % vos-kriteerit)]])</f>
        <v>-6577103.2105638711</v>
      </c>
      <c r="P125" s="112"/>
    </row>
    <row r="126" spans="1:16" s="45" customFormat="1">
      <c r="A126" s="239">
        <v>407</v>
      </c>
      <c r="B126" s="239" t="s">
        <v>133</v>
      </c>
      <c r="C126" s="326">
        <v>-2424.5099999999998</v>
      </c>
      <c r="D126" s="121">
        <v>-4383.71</v>
      </c>
      <c r="E126" s="121">
        <v>-2424.5099999999998</v>
      </c>
      <c r="F126" s="121">
        <v>-24.490000000000002</v>
      </c>
      <c r="G126" s="121">
        <v>-60171.93</v>
      </c>
      <c r="H126" s="121">
        <v>-95785.08</v>
      </c>
      <c r="I126" s="121">
        <v>218828.3207711225</v>
      </c>
      <c r="J126" s="34">
        <v>11086.416837346129</v>
      </c>
      <c r="K126" s="34">
        <v>-75934.449098491619</v>
      </c>
      <c r="L126" s="34">
        <v>-28122.60577645959</v>
      </c>
      <c r="M126" s="486">
        <v>34873.246195508516</v>
      </c>
      <c r="N126" s="486">
        <v>-5616.1878974628926</v>
      </c>
      <c r="O126" s="251">
        <f>SUM(LisäyksetVähennykset[[#This Row],[Kuntien yhdistymisavustus (-0,99 €/as)]:[TE25: Uudistuksen rahoituksen siirtymäajan porrastus (50 % kustannusperusteinen / 50 % vos-kriteerit)]])</f>
        <v>-10099.488968436941</v>
      </c>
      <c r="P126" s="112"/>
    </row>
    <row r="127" spans="1:16" s="45" customFormat="1">
      <c r="A127" s="239">
        <v>408</v>
      </c>
      <c r="B127" s="239" t="s">
        <v>134</v>
      </c>
      <c r="C127" s="326">
        <v>-13883.76</v>
      </c>
      <c r="D127" s="121">
        <v>-25102.959999999999</v>
      </c>
      <c r="E127" s="121">
        <v>-13883.76</v>
      </c>
      <c r="F127" s="121">
        <v>-140.24</v>
      </c>
      <c r="G127" s="121">
        <v>-344569.68</v>
      </c>
      <c r="H127" s="121">
        <v>-427074.85</v>
      </c>
      <c r="I127" s="121">
        <v>578082.1376279851</v>
      </c>
      <c r="J127" s="34">
        <v>-28035.145210869014</v>
      </c>
      <c r="K127" s="34">
        <v>-425178.63297840883</v>
      </c>
      <c r="L127" s="34">
        <v>-161041.82254351542</v>
      </c>
      <c r="M127" s="486">
        <v>444363.51897678513</v>
      </c>
      <c r="N127" s="486">
        <v>15999.953376978403</v>
      </c>
      <c r="O127" s="251">
        <f>SUM(LisäyksetVähennykset[[#This Row],[Kuntien yhdistymisavustus (-0,99 €/as)]:[TE25: Uudistuksen rahoituksen siirtymäajan porrastus (50 % kustannusperusteinen / 50 % vos-kriteerit)]])</f>
        <v>-400465.24075104471</v>
      </c>
      <c r="P127" s="112"/>
    </row>
    <row r="128" spans="1:16" s="45" customFormat="1">
      <c r="A128" s="239">
        <v>410</v>
      </c>
      <c r="B128" s="239" t="s">
        <v>135</v>
      </c>
      <c r="C128" s="326">
        <v>-18574.38</v>
      </c>
      <c r="D128" s="121">
        <v>-33583.980000000003</v>
      </c>
      <c r="E128" s="121">
        <v>-18574.38</v>
      </c>
      <c r="F128" s="121">
        <v>-187.62</v>
      </c>
      <c r="G128" s="121">
        <v>-460982.34</v>
      </c>
      <c r="H128" s="121">
        <v>-687384.66</v>
      </c>
      <c r="I128" s="121">
        <v>-3720568.2790627135</v>
      </c>
      <c r="J128" s="34">
        <v>-2592016.9535375475</v>
      </c>
      <c r="K128" s="34">
        <v>-566191.13654653705</v>
      </c>
      <c r="L128" s="34">
        <v>-215449.70583010811</v>
      </c>
      <c r="M128" s="486">
        <v>691918.92126286472</v>
      </c>
      <c r="N128" s="486">
        <v>-3134.7428728680825</v>
      </c>
      <c r="O128" s="251">
        <f>SUM(LisäyksetVähennykset[[#This Row],[Kuntien yhdistymisavustus (-0,99 €/as)]:[TE25: Uudistuksen rahoituksen siirtymäajan porrastus (50 % kustannusperusteinen / 50 % vos-kriteerit)]])</f>
        <v>-7624729.2565869102</v>
      </c>
      <c r="P128" s="112"/>
    </row>
    <row r="129" spans="1:16" s="45" customFormat="1">
      <c r="A129" s="239">
        <v>416</v>
      </c>
      <c r="B129" s="239" t="s">
        <v>136</v>
      </c>
      <c r="C129" s="326">
        <v>-2833.38</v>
      </c>
      <c r="D129" s="121">
        <v>-5122.9800000000005</v>
      </c>
      <c r="E129" s="121">
        <v>-2833.38</v>
      </c>
      <c r="F129" s="121">
        <v>-28.62</v>
      </c>
      <c r="G129" s="121">
        <v>-70319.34</v>
      </c>
      <c r="H129" s="121">
        <v>-103479.76</v>
      </c>
      <c r="I129" s="121">
        <v>-428819.31141512713</v>
      </c>
      <c r="J129" s="34">
        <v>-258301.16182212505</v>
      </c>
      <c r="K129" s="34">
        <v>-87032.096941321215</v>
      </c>
      <c r="L129" s="34">
        <v>-32865.209363914801</v>
      </c>
      <c r="M129" s="486">
        <v>111354.64634443299</v>
      </c>
      <c r="N129" s="486">
        <v>-10921.12264702587</v>
      </c>
      <c r="O129" s="251">
        <f>SUM(LisäyksetVähennykset[[#This Row],[Kuntien yhdistymisavustus (-0,99 €/as)]:[TE25: Uudistuksen rahoituksen siirtymäajan porrastus (50 % kustannusperusteinen / 50 % vos-kriteerit)]])</f>
        <v>-891201.71584508114</v>
      </c>
      <c r="P129" s="112"/>
    </row>
    <row r="130" spans="1:16" s="45" customFormat="1">
      <c r="A130" s="239">
        <v>418</v>
      </c>
      <c r="B130" s="243" t="s">
        <v>137</v>
      </c>
      <c r="C130" s="326">
        <v>-24463.89</v>
      </c>
      <c r="D130" s="121">
        <v>-44232.69</v>
      </c>
      <c r="E130" s="121">
        <v>-24463.89</v>
      </c>
      <c r="F130" s="121">
        <v>-247.11</v>
      </c>
      <c r="G130" s="121">
        <v>-607149.27</v>
      </c>
      <c r="H130" s="121">
        <v>-1033906.4</v>
      </c>
      <c r="I130" s="121">
        <v>84677.650722484963</v>
      </c>
      <c r="J130" s="34">
        <v>-48876.081231517157</v>
      </c>
      <c r="K130" s="34">
        <v>-741250.49993682455</v>
      </c>
      <c r="L130" s="34">
        <v>-283763.86743245932</v>
      </c>
      <c r="M130" s="486">
        <v>1003107.1265508151</v>
      </c>
      <c r="N130" s="486">
        <v>-325581.83314302075</v>
      </c>
      <c r="O130" s="251">
        <f>SUM(LisäyksetVähennykset[[#This Row],[Kuntien yhdistymisavustus (-0,99 €/as)]:[TE25: Uudistuksen rahoituksen siirtymäajan porrastus (50 % kustannusperusteinen / 50 % vos-kriteerit)]])</f>
        <v>-2046150.7544705218</v>
      </c>
      <c r="P130" s="112"/>
    </row>
    <row r="131" spans="1:16" s="45" customFormat="1">
      <c r="A131" s="239">
        <v>420</v>
      </c>
      <c r="B131" s="239" t="s">
        <v>138</v>
      </c>
      <c r="C131" s="326">
        <v>-8958.51</v>
      </c>
      <c r="D131" s="121">
        <v>-16197.710000000001</v>
      </c>
      <c r="E131" s="121">
        <v>-8958.51</v>
      </c>
      <c r="F131" s="121">
        <v>-90.49</v>
      </c>
      <c r="G131" s="121">
        <v>-222333.93</v>
      </c>
      <c r="H131" s="121">
        <v>-347998.46</v>
      </c>
      <c r="I131" s="121">
        <v>829059.81939340103</v>
      </c>
      <c r="J131" s="34">
        <v>130478.97396546154</v>
      </c>
      <c r="K131" s="34">
        <v>-276747.59308056301</v>
      </c>
      <c r="L131" s="34">
        <v>-103912.39676242664</v>
      </c>
      <c r="M131" s="486">
        <v>269247.38487045898</v>
      </c>
      <c r="N131" s="486">
        <v>-6496.898942496744</v>
      </c>
      <c r="O131" s="251">
        <f>SUM(LisäyksetVähennykset[[#This Row],[Kuntien yhdistymisavustus (-0,99 €/as)]:[TE25: Uudistuksen rahoituksen siirtymäajan porrastus (50 % kustannusperusteinen / 50 % vos-kriteerit)]])</f>
        <v>237091.67944383516</v>
      </c>
      <c r="P131" s="112"/>
    </row>
    <row r="132" spans="1:16" s="45" customFormat="1">
      <c r="A132" s="239">
        <v>421</v>
      </c>
      <c r="B132" s="239" t="s">
        <v>139</v>
      </c>
      <c r="C132" s="326">
        <v>-675.18</v>
      </c>
      <c r="D132" s="121">
        <v>-1220.78</v>
      </c>
      <c r="E132" s="121">
        <v>-675.18</v>
      </c>
      <c r="F132" s="121">
        <v>-6.82</v>
      </c>
      <c r="G132" s="121">
        <v>-16756.740000000002</v>
      </c>
      <c r="H132" s="121">
        <v>-22371.94</v>
      </c>
      <c r="I132" s="121">
        <v>339762.31164538307</v>
      </c>
      <c r="J132" s="34">
        <v>110463.42519263244</v>
      </c>
      <c r="K132" s="34">
        <v>-20958.872964039587</v>
      </c>
      <c r="L132" s="34">
        <v>-7831.6117352165948</v>
      </c>
      <c r="M132" s="486">
        <v>14029.129123728864</v>
      </c>
      <c r="N132" s="486">
        <v>5156.8858174016023</v>
      </c>
      <c r="O132" s="251">
        <f>SUM(LisäyksetVähennykset[[#This Row],[Kuntien yhdistymisavustus (-0,99 €/as)]:[TE25: Uudistuksen rahoituksen siirtymäajan porrastus (50 % kustannusperusteinen / 50 % vos-kriteerit)]])</f>
        <v>398914.62707988976</v>
      </c>
      <c r="P132" s="112"/>
    </row>
    <row r="133" spans="1:16" s="45" customFormat="1">
      <c r="A133" s="239">
        <v>422</v>
      </c>
      <c r="B133" s="239" t="s">
        <v>140</v>
      </c>
      <c r="C133" s="326">
        <v>-10125.719999999999</v>
      </c>
      <c r="D133" s="121">
        <v>-18308.12</v>
      </c>
      <c r="E133" s="121">
        <v>-10125.719999999999</v>
      </c>
      <c r="F133" s="121">
        <v>-102.28</v>
      </c>
      <c r="G133" s="121">
        <v>-251301.96</v>
      </c>
      <c r="H133" s="121">
        <v>-466740.46</v>
      </c>
      <c r="I133" s="121">
        <v>-305531.87221808359</v>
      </c>
      <c r="J133" s="34">
        <v>-20624.19505831147</v>
      </c>
      <c r="K133" s="34">
        <v>-312784.79191801237</v>
      </c>
      <c r="L133" s="34">
        <v>-117451.20942491983</v>
      </c>
      <c r="M133" s="486">
        <v>530407.05315925088</v>
      </c>
      <c r="N133" s="486">
        <v>367481.84696258232</v>
      </c>
      <c r="O133" s="251">
        <f>SUM(LisäyksetVähennykset[[#This Row],[Kuntien yhdistymisavustus (-0,99 €/as)]:[TE25: Uudistuksen rahoituksen siirtymäajan porrastus (50 % kustannusperusteinen / 50 % vos-kriteerit)]])</f>
        <v>-615207.4284974942</v>
      </c>
      <c r="P133" s="112"/>
    </row>
    <row r="134" spans="1:16" s="45" customFormat="1">
      <c r="A134" s="239">
        <v>423</v>
      </c>
      <c r="B134" s="239" t="s">
        <v>141</v>
      </c>
      <c r="C134" s="326">
        <v>-20430.63</v>
      </c>
      <c r="D134" s="121">
        <v>-36940.230000000003</v>
      </c>
      <c r="E134" s="121">
        <v>-20430.63</v>
      </c>
      <c r="F134" s="121">
        <v>-206.37</v>
      </c>
      <c r="G134" s="121">
        <v>-507051.09</v>
      </c>
      <c r="H134" s="121">
        <v>-441715.11</v>
      </c>
      <c r="I134" s="121">
        <v>2689870.2971306173</v>
      </c>
      <c r="J134" s="34">
        <v>303017.28875662113</v>
      </c>
      <c r="K134" s="34">
        <v>-618120.8908545603</v>
      </c>
      <c r="L134" s="34">
        <v>-236980.89645112149</v>
      </c>
      <c r="M134" s="486">
        <v>595485.90554074803</v>
      </c>
      <c r="N134" s="486">
        <v>-110542.72014044237</v>
      </c>
      <c r="O134" s="251">
        <f>SUM(LisäyksetVähennykset[[#This Row],[Kuntien yhdistymisavustus (-0,99 €/as)]:[TE25: Uudistuksen rahoituksen siirtymäajan porrastus (50 % kustannusperusteinen / 50 % vos-kriteerit)]])</f>
        <v>1595954.9239818621</v>
      </c>
      <c r="P134" s="112"/>
    </row>
    <row r="135" spans="1:16" s="45" customFormat="1">
      <c r="A135" s="237">
        <v>425</v>
      </c>
      <c r="B135" s="239" t="s">
        <v>142</v>
      </c>
      <c r="C135" s="326">
        <v>-10153.44</v>
      </c>
      <c r="D135" s="121">
        <v>-18358.240000000002</v>
      </c>
      <c r="E135" s="121">
        <v>-10153.44</v>
      </c>
      <c r="F135" s="121">
        <v>-102.56</v>
      </c>
      <c r="G135" s="121">
        <v>-251989.92</v>
      </c>
      <c r="H135" s="121">
        <v>-177332.58</v>
      </c>
      <c r="I135" s="121">
        <v>-657075.67096898332</v>
      </c>
      <c r="J135" s="121">
        <v>-1321689.8968538085</v>
      </c>
      <c r="K135" s="121">
        <v>-309346.93361887493</v>
      </c>
      <c r="L135" s="121">
        <v>-117772.74187152696</v>
      </c>
      <c r="M135" s="487">
        <v>255461.48908469806</v>
      </c>
      <c r="N135" s="487">
        <v>34489.42929193395</v>
      </c>
      <c r="O135" s="251">
        <f>SUM(LisäyksetVähennykset[[#This Row],[Kuntien yhdistymisavustus (-0,99 €/as)]:[TE25: Uudistuksen rahoituksen siirtymäajan porrastus (50 % kustannusperusteinen / 50 % vos-kriteerit)]])</f>
        <v>-2584024.5049365619</v>
      </c>
      <c r="P135" s="112"/>
    </row>
    <row r="136" spans="1:16" s="45" customFormat="1">
      <c r="A136" s="239">
        <v>426</v>
      </c>
      <c r="B136" s="239" t="s">
        <v>143</v>
      </c>
      <c r="C136" s="326">
        <v>-11849.31</v>
      </c>
      <c r="D136" s="121">
        <v>-21424.510000000002</v>
      </c>
      <c r="E136" s="121">
        <v>-11849.31</v>
      </c>
      <c r="F136" s="121">
        <v>-119.69</v>
      </c>
      <c r="G136" s="121">
        <v>-294078.33</v>
      </c>
      <c r="H136" s="121">
        <v>-451850.88</v>
      </c>
      <c r="I136" s="121">
        <v>-1691326.9640593883</v>
      </c>
      <c r="J136" s="34">
        <v>-967394.85171487916</v>
      </c>
      <c r="K136" s="34">
        <v>-360733.86819545546</v>
      </c>
      <c r="L136" s="34">
        <v>-137443.63762288477</v>
      </c>
      <c r="M136" s="486">
        <v>406244.44872973999</v>
      </c>
      <c r="N136" s="486">
        <v>224528.20789393666</v>
      </c>
      <c r="O136" s="251">
        <f>SUM(LisäyksetVähennykset[[#This Row],[Kuntien yhdistymisavustus (-0,99 €/as)]:[TE25: Uudistuksen rahoituksen siirtymäajan porrastus (50 % kustannusperusteinen / 50 % vos-kriteerit)]])</f>
        <v>-3317298.6949689314</v>
      </c>
      <c r="P136" s="112"/>
    </row>
    <row r="137" spans="1:16" s="45" customFormat="1">
      <c r="A137" s="239">
        <v>430</v>
      </c>
      <c r="B137" s="239" t="s">
        <v>144</v>
      </c>
      <c r="C137" s="326">
        <v>-15265.8</v>
      </c>
      <c r="D137" s="121">
        <v>-27601.8</v>
      </c>
      <c r="E137" s="121">
        <v>-15265.8</v>
      </c>
      <c r="F137" s="121">
        <v>-154.20000000000002</v>
      </c>
      <c r="G137" s="121">
        <v>-378869.4</v>
      </c>
      <c r="H137" s="121">
        <v>-596219.67000000004</v>
      </c>
      <c r="I137" s="121">
        <v>1259219.1591275749</v>
      </c>
      <c r="J137" s="34">
        <v>168995.25997968164</v>
      </c>
      <c r="K137" s="34">
        <v>-464171.18368704646</v>
      </c>
      <c r="L137" s="34">
        <v>-177072.5116672139</v>
      </c>
      <c r="M137" s="486">
        <v>798173.09282262519</v>
      </c>
      <c r="N137" s="486">
        <v>-113578.83414627146</v>
      </c>
      <c r="O137" s="251">
        <f>SUM(LisäyksetVähennykset[[#This Row],[Kuntien yhdistymisavustus (-0,99 €/as)]:[TE25: Uudistuksen rahoituksen siirtymäajan porrastus (50 % kustannusperusteinen / 50 % vos-kriteerit)]])</f>
        <v>438188.31242934987</v>
      </c>
      <c r="P137" s="112"/>
    </row>
    <row r="138" spans="1:16" s="45" customFormat="1">
      <c r="A138" s="239">
        <v>433</v>
      </c>
      <c r="B138" s="239" t="s">
        <v>145</v>
      </c>
      <c r="C138" s="326">
        <v>-7615.08</v>
      </c>
      <c r="D138" s="121">
        <v>-13768.68</v>
      </c>
      <c r="E138" s="121">
        <v>-7615.08</v>
      </c>
      <c r="F138" s="121">
        <v>-76.92</v>
      </c>
      <c r="G138" s="121">
        <v>-188992.44</v>
      </c>
      <c r="H138" s="121">
        <v>-232822.53</v>
      </c>
      <c r="I138" s="121">
        <v>54240.252231367471</v>
      </c>
      <c r="J138" s="34">
        <v>-15408.492817861124</v>
      </c>
      <c r="K138" s="34">
        <v>-233683.89438610469</v>
      </c>
      <c r="L138" s="34">
        <v>-88329.556403645227</v>
      </c>
      <c r="M138" s="486">
        <v>265265.14442149957</v>
      </c>
      <c r="N138" s="486">
        <v>-21156.567317045003</v>
      </c>
      <c r="O138" s="251">
        <f>SUM(LisäyksetVähennykset[[#This Row],[Kuntien yhdistymisavustus (-0,99 €/as)]:[TE25: Uudistuksen rahoituksen siirtymäajan porrastus (50 % kustannusperusteinen / 50 % vos-kriteerit)]])</f>
        <v>-489963.84427178901</v>
      </c>
      <c r="P138" s="112"/>
    </row>
    <row r="139" spans="1:16" s="45" customFormat="1">
      <c r="A139" s="239">
        <v>434</v>
      </c>
      <c r="B139" s="239" t="s">
        <v>146</v>
      </c>
      <c r="C139" s="326">
        <v>-14313.42</v>
      </c>
      <c r="D139" s="121">
        <v>-25879.82</v>
      </c>
      <c r="E139" s="121">
        <v>-14313.42</v>
      </c>
      <c r="F139" s="121">
        <v>-144.58000000000001</v>
      </c>
      <c r="G139" s="121">
        <v>-355233.06</v>
      </c>
      <c r="H139" s="121">
        <v>-578334.31000000006</v>
      </c>
      <c r="I139" s="121">
        <v>2251629.3192710802</v>
      </c>
      <c r="J139" s="34">
        <v>902945.45333464327</v>
      </c>
      <c r="K139" s="34">
        <v>-439322.10264766723</v>
      </c>
      <c r="L139" s="34">
        <v>-166025.57546592597</v>
      </c>
      <c r="M139" s="486">
        <v>379376.06370399124</v>
      </c>
      <c r="N139" s="486">
        <v>89489.310218651546</v>
      </c>
      <c r="O139" s="251">
        <f>SUM(LisäyksetVähennykset[[#This Row],[Kuntien yhdistymisavustus (-0,99 €/as)]:[TE25: Uudistuksen rahoituksen siirtymäajan porrastus (50 % kustannusperusteinen / 50 % vos-kriteerit)]])</f>
        <v>2029873.8584147729</v>
      </c>
      <c r="P139" s="112"/>
    </row>
    <row r="140" spans="1:16" s="45" customFormat="1">
      <c r="A140" s="239">
        <v>435</v>
      </c>
      <c r="B140" s="239" t="s">
        <v>147</v>
      </c>
      <c r="C140" s="326">
        <v>-694.98</v>
      </c>
      <c r="D140" s="121">
        <v>-1256.58</v>
      </c>
      <c r="E140" s="121">
        <v>-694.98</v>
      </c>
      <c r="F140" s="121">
        <v>-7.0200000000000005</v>
      </c>
      <c r="G140" s="121">
        <v>-17248.14</v>
      </c>
      <c r="H140" s="121">
        <v>-10358.31</v>
      </c>
      <c r="I140" s="121">
        <v>386413.02982456383</v>
      </c>
      <c r="J140" s="34">
        <v>386547.66550627339</v>
      </c>
      <c r="K140" s="34">
        <v>-20868.403008799127</v>
      </c>
      <c r="L140" s="34">
        <v>-8061.2777685074034</v>
      </c>
      <c r="M140" s="486">
        <v>24003.422800615794</v>
      </c>
      <c r="N140" s="486">
        <v>-10630.241249131879</v>
      </c>
      <c r="O140" s="251">
        <f>SUM(LisäyksetVähennykset[[#This Row],[Kuntien yhdistymisavustus (-0,99 €/as)]:[TE25: Uudistuksen rahoituksen siirtymäajan porrastus (50 % kustannusperusteinen / 50 % vos-kriteerit)]])</f>
        <v>727144.18610501476</v>
      </c>
      <c r="P140" s="112"/>
    </row>
    <row r="141" spans="1:16" s="45" customFormat="1">
      <c r="A141" s="239">
        <v>436</v>
      </c>
      <c r="B141" s="239" t="s">
        <v>148</v>
      </c>
      <c r="C141" s="326">
        <v>-2012.67</v>
      </c>
      <c r="D141" s="121">
        <v>-3639.07</v>
      </c>
      <c r="E141" s="121">
        <v>-2012.67</v>
      </c>
      <c r="F141" s="121">
        <v>-20.330000000000002</v>
      </c>
      <c r="G141" s="121">
        <v>-49950.81</v>
      </c>
      <c r="H141" s="121">
        <v>-25987.35</v>
      </c>
      <c r="I141" s="121">
        <v>-94109.188607009564</v>
      </c>
      <c r="J141" s="34">
        <v>-173153.04601043632</v>
      </c>
      <c r="K141" s="34">
        <v>-59951.423672677258</v>
      </c>
      <c r="L141" s="34">
        <v>-23345.552284010759</v>
      </c>
      <c r="M141" s="486">
        <v>33436.819269533007</v>
      </c>
      <c r="N141" s="486">
        <v>-39814.667327563933</v>
      </c>
      <c r="O141" s="251">
        <f>SUM(LisäyksetVähennykset[[#This Row],[Kuntien yhdistymisavustus (-0,99 €/as)]:[TE25: Uudistuksen rahoituksen siirtymäajan porrastus (50 % kustannusperusteinen / 50 % vos-kriteerit)]])</f>
        <v>-440559.95863216481</v>
      </c>
      <c r="P141" s="112"/>
    </row>
    <row r="142" spans="1:16" s="45" customFormat="1">
      <c r="A142" s="239">
        <v>440</v>
      </c>
      <c r="B142" s="239" t="s">
        <v>149</v>
      </c>
      <c r="C142" s="326">
        <v>-5784.57</v>
      </c>
      <c r="D142" s="121">
        <v>-10458.969999999999</v>
      </c>
      <c r="E142" s="121">
        <v>-5784.57</v>
      </c>
      <c r="F142" s="121">
        <v>-58.43</v>
      </c>
      <c r="G142" s="121">
        <v>-143562.51</v>
      </c>
      <c r="H142" s="121">
        <v>-38658.379999999997</v>
      </c>
      <c r="I142" s="121">
        <v>-1089533.1974779894</v>
      </c>
      <c r="J142" s="34">
        <v>-1089599.7640559769</v>
      </c>
      <c r="K142" s="34">
        <v>-172857.92781276966</v>
      </c>
      <c r="L142" s="34">
        <v>-67096.931625909914</v>
      </c>
      <c r="M142" s="486">
        <v>83198.100267148111</v>
      </c>
      <c r="N142" s="486">
        <v>-96251.514028817459</v>
      </c>
      <c r="O142" s="251">
        <f>SUM(LisäyksetVähennykset[[#This Row],[Kuntien yhdistymisavustus (-0,99 €/as)]:[TE25: Uudistuksen rahoituksen siirtymäajan porrastus (50 % kustannusperusteinen / 50 % vos-kriteerit)]])</f>
        <v>-2636448.6647343151</v>
      </c>
      <c r="P142" s="112"/>
    </row>
    <row r="143" spans="1:16" s="45" customFormat="1">
      <c r="A143" s="239">
        <v>441</v>
      </c>
      <c r="B143" s="239" t="s">
        <v>150</v>
      </c>
      <c r="C143" s="326">
        <v>-4352.04</v>
      </c>
      <c r="D143" s="121">
        <v>-7868.84</v>
      </c>
      <c r="E143" s="121">
        <v>-4352.04</v>
      </c>
      <c r="F143" s="121">
        <v>-43.96</v>
      </c>
      <c r="G143" s="121">
        <v>-108009.72</v>
      </c>
      <c r="H143" s="121">
        <v>-163770.37</v>
      </c>
      <c r="I143" s="121">
        <v>-771732.80704087787</v>
      </c>
      <c r="J143" s="34">
        <v>-152827.93836000437</v>
      </c>
      <c r="K143" s="34">
        <v>-133322.55737268922</v>
      </c>
      <c r="L143" s="34">
        <v>-50480.594117319866</v>
      </c>
      <c r="M143" s="486">
        <v>229570.70439166753</v>
      </c>
      <c r="N143" s="486">
        <v>38084.810027995059</v>
      </c>
      <c r="O143" s="251">
        <f>SUM(LisäyksetVähennykset[[#This Row],[Kuntien yhdistymisavustus (-0,99 €/as)]:[TE25: Uudistuksen rahoituksen siirtymäajan porrastus (50 % kustannusperusteinen / 50 % vos-kriteerit)]])</f>
        <v>-1129105.3524712287</v>
      </c>
      <c r="P143" s="112"/>
    </row>
    <row r="144" spans="1:16" s="45" customFormat="1">
      <c r="A144" s="239">
        <v>444</v>
      </c>
      <c r="B144" s="239" t="s">
        <v>151</v>
      </c>
      <c r="C144" s="326">
        <v>-45188.55</v>
      </c>
      <c r="D144" s="121">
        <v>-81704.55</v>
      </c>
      <c r="E144" s="121">
        <v>-45188.55</v>
      </c>
      <c r="F144" s="121">
        <v>-456.45</v>
      </c>
      <c r="G144" s="121">
        <v>-1121497.6499999999</v>
      </c>
      <c r="H144" s="121">
        <v>-2752630.88</v>
      </c>
      <c r="I144" s="121">
        <v>2472289.9995598788</v>
      </c>
      <c r="J144" s="34">
        <v>2768968.7509325887</v>
      </c>
      <c r="K144" s="34">
        <v>-1381506.3731735505</v>
      </c>
      <c r="L144" s="34">
        <v>-524155.30447794934</v>
      </c>
      <c r="M144" s="486">
        <v>2117799.1890837396</v>
      </c>
      <c r="N144" s="486">
        <v>-497630.49444263824</v>
      </c>
      <c r="O144" s="251">
        <f>SUM(LisäyksetVähennykset[[#This Row],[Kuntien yhdistymisavustus (-0,99 €/as)]:[TE25: Uudistuksen rahoituksen siirtymäajan porrastus (50 % kustannusperusteinen / 50 % vos-kriteerit)]])</f>
        <v>909099.1374820692</v>
      </c>
      <c r="P144" s="112"/>
    </row>
    <row r="145" spans="1:16" s="45" customFormat="1">
      <c r="A145" s="239">
        <v>445</v>
      </c>
      <c r="B145" s="239" t="s">
        <v>152</v>
      </c>
      <c r="C145" s="326">
        <v>-14849.01</v>
      </c>
      <c r="D145" s="121">
        <v>-26848.21</v>
      </c>
      <c r="E145" s="121">
        <v>-14849.01</v>
      </c>
      <c r="F145" s="121">
        <v>-149.99</v>
      </c>
      <c r="G145" s="121">
        <v>-368525.43</v>
      </c>
      <c r="H145" s="121">
        <v>-344187.67</v>
      </c>
      <c r="I145" s="121">
        <v>-4501784.1890666038</v>
      </c>
      <c r="J145" s="34">
        <v>-606871.30966970895</v>
      </c>
      <c r="K145" s="34">
        <v>-452078.36633657181</v>
      </c>
      <c r="L145" s="34">
        <v>-172238.04166644238</v>
      </c>
      <c r="M145" s="486">
        <v>337696.10070079088</v>
      </c>
      <c r="N145" s="486">
        <v>-263392.96740693448</v>
      </c>
      <c r="O145" s="251">
        <f>SUM(LisäyksetVähennykset[[#This Row],[Kuntien yhdistymisavustus (-0,99 €/as)]:[TE25: Uudistuksen rahoituksen siirtymäajan porrastus (50 % kustannusperusteinen / 50 % vos-kriteerit)]])</f>
        <v>-6428078.0934454706</v>
      </c>
      <c r="P145" s="112"/>
    </row>
    <row r="146" spans="1:16" s="45" customFormat="1">
      <c r="A146" s="239">
        <v>475</v>
      </c>
      <c r="B146" s="239" t="s">
        <v>153</v>
      </c>
      <c r="C146" s="326">
        <v>-5401.44</v>
      </c>
      <c r="D146" s="121">
        <v>-9766.24</v>
      </c>
      <c r="E146" s="121">
        <v>-5401.44</v>
      </c>
      <c r="F146" s="121">
        <v>-54.56</v>
      </c>
      <c r="G146" s="121">
        <v>-134053.92000000001</v>
      </c>
      <c r="H146" s="121">
        <v>-57989.5</v>
      </c>
      <c r="I146" s="121">
        <v>-1369632.3485997785</v>
      </c>
      <c r="J146" s="34">
        <v>-913712.62642077112</v>
      </c>
      <c r="K146" s="34">
        <v>-165228.29492082432</v>
      </c>
      <c r="L146" s="34">
        <v>-62652.893881732758</v>
      </c>
      <c r="M146" s="486">
        <v>95482.600630911737</v>
      </c>
      <c r="N146" s="486">
        <v>-30265.115926361439</v>
      </c>
      <c r="O146" s="251">
        <f>SUM(LisäyksetVähennykset[[#This Row],[Kuntien yhdistymisavustus (-0,99 €/as)]:[TE25: Uudistuksen rahoituksen siirtymäajan porrastus (50 % kustannusperusteinen / 50 % vos-kriteerit)]])</f>
        <v>-2658675.779118557</v>
      </c>
      <c r="P146" s="112"/>
    </row>
    <row r="147" spans="1:16" s="45" customFormat="1">
      <c r="A147" s="239">
        <v>480</v>
      </c>
      <c r="B147" s="239" t="s">
        <v>154</v>
      </c>
      <c r="C147" s="326">
        <v>-1910.7</v>
      </c>
      <c r="D147" s="121">
        <v>-3454.7000000000003</v>
      </c>
      <c r="E147" s="121">
        <v>-1910.7</v>
      </c>
      <c r="F147" s="121">
        <v>-19.3</v>
      </c>
      <c r="G147" s="121">
        <v>-47420.1</v>
      </c>
      <c r="H147" s="121">
        <v>-47608.65</v>
      </c>
      <c r="I147" s="121">
        <v>111571.41106489858</v>
      </c>
      <c r="J147" s="34">
        <v>-3933.1525091920639</v>
      </c>
      <c r="K147" s="34">
        <v>-59649.857155209065</v>
      </c>
      <c r="L147" s="34">
        <v>-22162.77221256309</v>
      </c>
      <c r="M147" s="486">
        <v>87338.324722934267</v>
      </c>
      <c r="N147" s="486">
        <v>545.44226120637904</v>
      </c>
      <c r="O147" s="251">
        <f>SUM(LisäyksetVähennykset[[#This Row],[Kuntien yhdistymisavustus (-0,99 €/as)]:[TE25: Uudistuksen rahoituksen siirtymäajan porrastus (50 % kustannusperusteinen / 50 % vos-kriteerit)]])</f>
        <v>11385.246172075014</v>
      </c>
      <c r="P147" s="112"/>
    </row>
    <row r="148" spans="1:16" s="45" customFormat="1">
      <c r="A148" s="239">
        <v>481</v>
      </c>
      <c r="B148" s="239" t="s">
        <v>155</v>
      </c>
      <c r="C148" s="326">
        <v>-9522.81</v>
      </c>
      <c r="D148" s="121">
        <v>-17218.010000000002</v>
      </c>
      <c r="E148" s="121">
        <v>-9522.81</v>
      </c>
      <c r="F148" s="121">
        <v>-96.19</v>
      </c>
      <c r="G148" s="121">
        <v>-236338.83000000002</v>
      </c>
      <c r="H148" s="121">
        <v>-102419.49</v>
      </c>
      <c r="I148" s="121">
        <v>327377.96851024253</v>
      </c>
      <c r="J148" s="34">
        <v>-19172.627145414499</v>
      </c>
      <c r="K148" s="34">
        <v>-290770.43614283408</v>
      </c>
      <c r="L148" s="34">
        <v>-110457.8787112147</v>
      </c>
      <c r="M148" s="486">
        <v>183448.77365064411</v>
      </c>
      <c r="N148" s="486">
        <v>-152180.13074666756</v>
      </c>
      <c r="O148" s="251">
        <f>SUM(LisäyksetVähennykset[[#This Row],[Kuntien yhdistymisavustus (-0,99 €/as)]:[TE25: Uudistuksen rahoituksen siirtymäajan porrastus (50 % kustannusperusteinen / 50 % vos-kriteerit)]])</f>
        <v>-436872.47058524424</v>
      </c>
      <c r="P148" s="112"/>
    </row>
    <row r="149" spans="1:16" s="45" customFormat="1">
      <c r="A149" s="239">
        <v>483</v>
      </c>
      <c r="B149" s="239" t="s">
        <v>156</v>
      </c>
      <c r="C149" s="326">
        <v>-1044.45</v>
      </c>
      <c r="D149" s="121">
        <v>-1888.45</v>
      </c>
      <c r="E149" s="121">
        <v>-1044.45</v>
      </c>
      <c r="F149" s="121">
        <v>-10.55</v>
      </c>
      <c r="G149" s="121">
        <v>-25921.35</v>
      </c>
      <c r="H149" s="121">
        <v>-34163.75</v>
      </c>
      <c r="I149" s="121">
        <v>-212166.39532572028</v>
      </c>
      <c r="J149" s="34">
        <v>-262176.3413553139</v>
      </c>
      <c r="K149" s="34">
        <v>-32177.147413856455</v>
      </c>
      <c r="L149" s="34">
        <v>-12114.883256090186</v>
      </c>
      <c r="M149" s="486">
        <v>40595.713300171599</v>
      </c>
      <c r="N149" s="486">
        <v>67338.135806089587</v>
      </c>
      <c r="O149" s="251">
        <f>SUM(LisäyksetVähennykset[[#This Row],[Kuntien yhdistymisavustus (-0,99 €/as)]:[TE25: Uudistuksen rahoituksen siirtymäajan porrastus (50 % kustannusperusteinen / 50 % vos-kriteerit)]])</f>
        <v>-474773.91824471962</v>
      </c>
      <c r="P149" s="112"/>
    </row>
    <row r="150" spans="1:16" s="45" customFormat="1">
      <c r="A150" s="239">
        <v>484</v>
      </c>
      <c r="B150" s="239" t="s">
        <v>157</v>
      </c>
      <c r="C150" s="326">
        <v>-2936.34</v>
      </c>
      <c r="D150" s="121">
        <v>-5309.14</v>
      </c>
      <c r="E150" s="121">
        <v>-2936.34</v>
      </c>
      <c r="F150" s="121">
        <v>-29.66</v>
      </c>
      <c r="G150" s="121">
        <v>-72874.62</v>
      </c>
      <c r="H150" s="121">
        <v>-38926.959999999999</v>
      </c>
      <c r="I150" s="121">
        <v>-371346.06581088656</v>
      </c>
      <c r="J150" s="34">
        <v>16455.860274961193</v>
      </c>
      <c r="K150" s="34">
        <v>-89474.785732813601</v>
      </c>
      <c r="L150" s="34">
        <v>-34059.472737027005</v>
      </c>
      <c r="M150" s="486">
        <v>96005.837051500595</v>
      </c>
      <c r="N150" s="486">
        <v>24341.949221061397</v>
      </c>
      <c r="O150" s="251">
        <f>SUM(LisäyksetVähennykset[[#This Row],[Kuntien yhdistymisavustus (-0,99 €/as)]:[TE25: Uudistuksen rahoituksen siirtymäajan porrastus (50 % kustannusperusteinen / 50 % vos-kriteerit)]])</f>
        <v>-481089.73773320392</v>
      </c>
      <c r="P150" s="112"/>
    </row>
    <row r="151" spans="1:16" s="45" customFormat="1">
      <c r="A151" s="239">
        <v>489</v>
      </c>
      <c r="B151" s="239" t="s">
        <v>158</v>
      </c>
      <c r="C151" s="326">
        <v>-1734.48</v>
      </c>
      <c r="D151" s="121">
        <v>-3136.08</v>
      </c>
      <c r="E151" s="121">
        <v>-1734.48</v>
      </c>
      <c r="F151" s="121">
        <v>-17.52</v>
      </c>
      <c r="G151" s="121">
        <v>-43046.64</v>
      </c>
      <c r="H151" s="121">
        <v>-38779.53</v>
      </c>
      <c r="I151" s="121">
        <v>633239.01053460699</v>
      </c>
      <c r="J151" s="34">
        <v>298675.28233634133</v>
      </c>
      <c r="K151" s="34">
        <v>-54010.563278553811</v>
      </c>
      <c r="L151" s="34">
        <v>-20118.744516274888</v>
      </c>
      <c r="M151" s="486">
        <v>57684.482908448612</v>
      </c>
      <c r="N151" s="486">
        <v>51125.115149410209</v>
      </c>
      <c r="O151" s="251">
        <f>SUM(LisäyksetVähennykset[[#This Row],[Kuntien yhdistymisavustus (-0,99 €/as)]:[TE25: Uudistuksen rahoituksen siirtymäajan porrastus (50 % kustannusperusteinen / 50 % vos-kriteerit)]])</f>
        <v>878145.85313397855</v>
      </c>
      <c r="P151" s="112"/>
    </row>
    <row r="152" spans="1:16" s="45" customFormat="1">
      <c r="A152" s="239">
        <v>491</v>
      </c>
      <c r="B152" s="239" t="s">
        <v>159</v>
      </c>
      <c r="C152" s="326">
        <v>-51399.81</v>
      </c>
      <c r="D152" s="121">
        <v>-92935.01</v>
      </c>
      <c r="E152" s="121">
        <v>-51399.81</v>
      </c>
      <c r="F152" s="121">
        <v>-519.19000000000005</v>
      </c>
      <c r="G152" s="121">
        <v>-1275649.83</v>
      </c>
      <c r="H152" s="121">
        <v>-2814669.8</v>
      </c>
      <c r="I152" s="121">
        <v>-12130052.307945328</v>
      </c>
      <c r="J152" s="34">
        <v>-4382486.2229727851</v>
      </c>
      <c r="K152" s="34">
        <v>-1567542.7577996801</v>
      </c>
      <c r="L152" s="34">
        <v>-596201.53912127623</v>
      </c>
      <c r="M152" s="486">
        <v>2559318.0380514995</v>
      </c>
      <c r="N152" s="486">
        <v>925701.53099200595</v>
      </c>
      <c r="O152" s="251">
        <f>SUM(LisäyksetVähennykset[[#This Row],[Kuntien yhdistymisavustus (-0,99 €/as)]:[TE25: Uudistuksen rahoituksen siirtymäajan porrastus (50 % kustannusperusteinen / 50 % vos-kriteerit)]])</f>
        <v>-19477836.708795566</v>
      </c>
      <c r="P152" s="112"/>
    </row>
    <row r="153" spans="1:16" s="45" customFormat="1">
      <c r="A153" s="239">
        <v>494</v>
      </c>
      <c r="B153" s="239" t="s">
        <v>160</v>
      </c>
      <c r="C153" s="326">
        <v>-8738.73</v>
      </c>
      <c r="D153" s="121">
        <v>-15800.33</v>
      </c>
      <c r="E153" s="121">
        <v>-8738.73</v>
      </c>
      <c r="F153" s="121">
        <v>-88.27</v>
      </c>
      <c r="G153" s="121">
        <v>-216879.39</v>
      </c>
      <c r="H153" s="121">
        <v>-273715.49</v>
      </c>
      <c r="I153" s="121">
        <v>-1684273.5612121855</v>
      </c>
      <c r="J153" s="34">
        <v>-1829388.5820365362</v>
      </c>
      <c r="K153" s="34">
        <v>-267851.38081525121</v>
      </c>
      <c r="L153" s="34">
        <v>-101363.10379289865</v>
      </c>
      <c r="M153" s="486">
        <v>163329.14263309597</v>
      </c>
      <c r="N153" s="486">
        <v>-69231.536670788366</v>
      </c>
      <c r="O153" s="251">
        <f>SUM(LisäyksetVähennykset[[#This Row],[Kuntien yhdistymisavustus (-0,99 €/as)]:[TE25: Uudistuksen rahoituksen siirtymäajan porrastus (50 % kustannusperusteinen / 50 % vos-kriteerit)]])</f>
        <v>-4312739.9618945634</v>
      </c>
      <c r="P153" s="112"/>
    </row>
    <row r="154" spans="1:16" s="45" customFormat="1">
      <c r="A154" s="239">
        <v>495</v>
      </c>
      <c r="B154" s="239" t="s">
        <v>161</v>
      </c>
      <c r="C154" s="326">
        <v>-1415.7</v>
      </c>
      <c r="D154" s="121">
        <v>-2559.7000000000003</v>
      </c>
      <c r="E154" s="121">
        <v>-1415.7</v>
      </c>
      <c r="F154" s="121">
        <v>-14.3</v>
      </c>
      <c r="G154" s="121">
        <v>-35135.1</v>
      </c>
      <c r="H154" s="121">
        <v>-45915.47</v>
      </c>
      <c r="I154" s="121">
        <v>-8204.042889708815</v>
      </c>
      <c r="J154" s="34">
        <v>-2936.9394621216779</v>
      </c>
      <c r="K154" s="34">
        <v>-44541.374630052473</v>
      </c>
      <c r="L154" s="34">
        <v>-16421.121380292858</v>
      </c>
      <c r="M154" s="486">
        <v>59588.200028801599</v>
      </c>
      <c r="N154" s="486">
        <v>10840.342468532661</v>
      </c>
      <c r="O154" s="251">
        <f>SUM(LisäyksetVähennykset[[#This Row],[Kuntien yhdistymisavustus (-0,99 €/as)]:[TE25: Uudistuksen rahoituksen siirtymäajan porrastus (50 % kustannusperusteinen / 50 % vos-kriteerit)]])</f>
        <v>-88130.905864841581</v>
      </c>
      <c r="P154" s="112"/>
    </row>
    <row r="155" spans="1:16" s="45" customFormat="1">
      <c r="A155" s="239">
        <v>498</v>
      </c>
      <c r="B155" s="239" t="s">
        <v>162</v>
      </c>
      <c r="C155" s="326">
        <v>-2301.75</v>
      </c>
      <c r="D155" s="121">
        <v>-4161.75</v>
      </c>
      <c r="E155" s="121">
        <v>-2301.75</v>
      </c>
      <c r="F155" s="121">
        <v>-23.25</v>
      </c>
      <c r="G155" s="121">
        <v>-57125.25</v>
      </c>
      <c r="H155" s="121">
        <v>-25925.51</v>
      </c>
      <c r="I155" s="121">
        <v>73354.581710006387</v>
      </c>
      <c r="J155" s="34">
        <v>541439.94678618235</v>
      </c>
      <c r="K155" s="34">
        <v>-68787.322634495387</v>
      </c>
      <c r="L155" s="34">
        <v>-26698.676370056572</v>
      </c>
      <c r="M155" s="486">
        <v>128689.36746121282</v>
      </c>
      <c r="N155" s="486">
        <v>70416.974882789975</v>
      </c>
      <c r="O155" s="251">
        <f>SUM(LisäyksetVähennykset[[#This Row],[Kuntien yhdistymisavustus (-0,99 €/as)]:[TE25: Uudistuksen rahoituksen siirtymäajan porrastus (50 % kustannusperusteinen / 50 % vos-kriteerit)]])</f>
        <v>626575.61183563957</v>
      </c>
      <c r="P155" s="112"/>
    </row>
    <row r="156" spans="1:16" s="45" customFormat="1">
      <c r="A156" s="239">
        <v>499</v>
      </c>
      <c r="B156" s="239" t="s">
        <v>163</v>
      </c>
      <c r="C156" s="326">
        <v>-19565.37</v>
      </c>
      <c r="D156" s="121">
        <v>-35375.770000000004</v>
      </c>
      <c r="E156" s="121">
        <v>-19565.37</v>
      </c>
      <c r="F156" s="121">
        <v>-197.63</v>
      </c>
      <c r="G156" s="121">
        <v>-485576.91000000003</v>
      </c>
      <c r="H156" s="121">
        <v>-232547.99</v>
      </c>
      <c r="I156" s="121">
        <v>1281107.2935538911</v>
      </c>
      <c r="J156" s="34">
        <v>-39096.888086822226</v>
      </c>
      <c r="K156" s="34">
        <v>-592940.08664596593</v>
      </c>
      <c r="L156" s="34">
        <v>-226944.49079631313</v>
      </c>
      <c r="M156" s="486">
        <v>371945.82476859394</v>
      </c>
      <c r="N156" s="486">
        <v>15598.473052085144</v>
      </c>
      <c r="O156" s="251">
        <f>SUM(LisäyksetVähennykset[[#This Row],[Kuntien yhdistymisavustus (-0,99 €/as)]:[TE25: Uudistuksen rahoituksen siirtymäajan porrastus (50 % kustannusperusteinen / 50 % vos-kriteerit)]])</f>
        <v>16841.085845468857</v>
      </c>
      <c r="P156" s="112"/>
    </row>
    <row r="157" spans="1:16" s="45" customFormat="1">
      <c r="A157" s="239">
        <v>500</v>
      </c>
      <c r="B157" s="239" t="s">
        <v>164</v>
      </c>
      <c r="C157" s="326">
        <v>-10445.49</v>
      </c>
      <c r="D157" s="121">
        <v>-18886.29</v>
      </c>
      <c r="E157" s="121">
        <v>-10445.49</v>
      </c>
      <c r="F157" s="121">
        <v>-105.51</v>
      </c>
      <c r="G157" s="121">
        <v>-259238.07</v>
      </c>
      <c r="H157" s="121">
        <v>-199962.16</v>
      </c>
      <c r="I157" s="121">
        <v>2704430.9146959474</v>
      </c>
      <c r="J157" s="34">
        <v>1101893.7380980088</v>
      </c>
      <c r="K157" s="34">
        <v>-316222.65021714981</v>
      </c>
      <c r="L157" s="34">
        <v>-121160.31586256641</v>
      </c>
      <c r="M157" s="486">
        <v>375874.37989198999</v>
      </c>
      <c r="N157" s="486">
        <v>115334.48245682416</v>
      </c>
      <c r="O157" s="251">
        <f>SUM(LisäyksetVähennykset[[#This Row],[Kuntien yhdistymisavustus (-0,99 €/as)]:[TE25: Uudistuksen rahoituksen siirtymäajan porrastus (50 % kustannusperusteinen / 50 % vos-kriteerit)]])</f>
        <v>3361067.5390630546</v>
      </c>
      <c r="P157" s="112"/>
    </row>
    <row r="158" spans="1:16" s="45" customFormat="1">
      <c r="A158" s="239">
        <v>503</v>
      </c>
      <c r="B158" s="239" t="s">
        <v>165</v>
      </c>
      <c r="C158" s="326">
        <v>-7439.85</v>
      </c>
      <c r="D158" s="121">
        <v>-13451.85</v>
      </c>
      <c r="E158" s="121">
        <v>-7439.85</v>
      </c>
      <c r="F158" s="121">
        <v>-75.150000000000006</v>
      </c>
      <c r="G158" s="121">
        <v>-184643.55</v>
      </c>
      <c r="H158" s="121">
        <v>-150512.82999999999</v>
      </c>
      <c r="I158" s="121">
        <v>-628372.56171772804</v>
      </c>
      <c r="J158" s="34">
        <v>-664747.85910887492</v>
      </c>
      <c r="K158" s="34">
        <v>-227350.99751927258</v>
      </c>
      <c r="L158" s="34">
        <v>-86297.012009021564</v>
      </c>
      <c r="M158" s="486">
        <v>180288.39601773233</v>
      </c>
      <c r="N158" s="486">
        <v>-112737.00266201</v>
      </c>
      <c r="O158" s="251">
        <f>SUM(LisäyksetVähennykset[[#This Row],[Kuntien yhdistymisavustus (-0,99 €/as)]:[TE25: Uudistuksen rahoituksen siirtymäajan porrastus (50 % kustannusperusteinen / 50 % vos-kriteerit)]])</f>
        <v>-1902780.1169991747</v>
      </c>
      <c r="P158" s="112"/>
    </row>
    <row r="159" spans="1:16" s="45" customFormat="1">
      <c r="A159" s="239">
        <v>504</v>
      </c>
      <c r="B159" s="239" t="s">
        <v>166</v>
      </c>
      <c r="C159" s="326">
        <v>-1697.85</v>
      </c>
      <c r="D159" s="121">
        <v>-3069.85</v>
      </c>
      <c r="E159" s="121">
        <v>-1697.85</v>
      </c>
      <c r="F159" s="121">
        <v>-17.150000000000002</v>
      </c>
      <c r="G159" s="121">
        <v>-42137.55</v>
      </c>
      <c r="H159" s="121">
        <v>-53475.99</v>
      </c>
      <c r="I159" s="121">
        <v>-480931.45170114934</v>
      </c>
      <c r="J159" s="34">
        <v>-152692.77452990002</v>
      </c>
      <c r="K159" s="34">
        <v>-53196.333681389682</v>
      </c>
      <c r="L159" s="34">
        <v>-19693.862354686891</v>
      </c>
      <c r="M159" s="486">
        <v>41353.150778867275</v>
      </c>
      <c r="N159" s="486">
        <v>-14456.551802034737</v>
      </c>
      <c r="O159" s="251">
        <f>SUM(LisäyksetVähennykset[[#This Row],[Kuntien yhdistymisavustus (-0,99 €/as)]:[TE25: Uudistuksen rahoituksen siirtymäajan porrastus (50 % kustannusperusteinen / 50 % vos-kriteerit)]])</f>
        <v>-781714.06329029333</v>
      </c>
      <c r="P159" s="112"/>
    </row>
    <row r="160" spans="1:16" s="45" customFormat="1">
      <c r="A160" s="239">
        <v>505</v>
      </c>
      <c r="B160" s="239" t="s">
        <v>167</v>
      </c>
      <c r="C160" s="326">
        <v>-20747.43</v>
      </c>
      <c r="D160" s="121">
        <v>-37513.03</v>
      </c>
      <c r="E160" s="121">
        <v>-20747.43</v>
      </c>
      <c r="F160" s="121">
        <v>-209.57</v>
      </c>
      <c r="G160" s="121">
        <v>-514913.49</v>
      </c>
      <c r="H160" s="121">
        <v>-806352.6</v>
      </c>
      <c r="I160" s="121">
        <v>-689453.45907624206</v>
      </c>
      <c r="J160" s="34">
        <v>-41582.449581508816</v>
      </c>
      <c r="K160" s="34">
        <v>-630635.90132949047</v>
      </c>
      <c r="L160" s="34">
        <v>-240655.55298377443</v>
      </c>
      <c r="M160" s="486">
        <v>516581.89035596396</v>
      </c>
      <c r="N160" s="486">
        <v>-318490.64976517309</v>
      </c>
      <c r="O160" s="251">
        <f>SUM(LisäyksetVähennykset[[#This Row],[Kuntien yhdistymisavustus (-0,99 €/as)]:[TE25: Uudistuksen rahoituksen siirtymäajan porrastus (50 % kustannusperusteinen / 50 % vos-kriteerit)]])</f>
        <v>-2804719.6723802248</v>
      </c>
      <c r="P160" s="112"/>
    </row>
    <row r="161" spans="1:16" s="45" customFormat="1">
      <c r="A161" s="239">
        <v>507</v>
      </c>
      <c r="B161" s="239" t="s">
        <v>168</v>
      </c>
      <c r="C161" s="326">
        <v>-5466.78</v>
      </c>
      <c r="D161" s="121">
        <v>-9884.380000000001</v>
      </c>
      <c r="E161" s="121">
        <v>-5466.78</v>
      </c>
      <c r="F161" s="121">
        <v>-55.22</v>
      </c>
      <c r="G161" s="121">
        <v>-135675.54</v>
      </c>
      <c r="H161" s="121">
        <v>-204548.52</v>
      </c>
      <c r="I161" s="121">
        <v>-778872.56072240649</v>
      </c>
      <c r="J161" s="34">
        <v>-11063.731325148961</v>
      </c>
      <c r="K161" s="34">
        <v>-167791.61031930396</v>
      </c>
      <c r="L161" s="34">
        <v>-63410.791791592426</v>
      </c>
      <c r="M161" s="486">
        <v>224332.21587072156</v>
      </c>
      <c r="N161" s="486">
        <v>69790.902520370786</v>
      </c>
      <c r="O161" s="251">
        <f>SUM(LisäyksetVähennykset[[#This Row],[Kuntien yhdistymisavustus (-0,99 €/as)]:[TE25: Uudistuksen rahoituksen siirtymäajan porrastus (50 % kustannusperusteinen / 50 % vos-kriteerit)]])</f>
        <v>-1088112.7957673599</v>
      </c>
      <c r="P161" s="112"/>
    </row>
    <row r="162" spans="1:16" s="45" customFormat="1">
      <c r="A162" s="239">
        <v>508</v>
      </c>
      <c r="B162" s="239" t="s">
        <v>169</v>
      </c>
      <c r="C162" s="326">
        <v>-9178.2899999999991</v>
      </c>
      <c r="D162" s="121">
        <v>-16595.09</v>
      </c>
      <c r="E162" s="121">
        <v>-9178.2899999999991</v>
      </c>
      <c r="F162" s="121">
        <v>-92.710000000000008</v>
      </c>
      <c r="G162" s="121">
        <v>-227788.47</v>
      </c>
      <c r="H162" s="121">
        <v>-529557.87</v>
      </c>
      <c r="I162" s="121">
        <v>-838485.16698785278</v>
      </c>
      <c r="J162" s="34">
        <v>-375336.37779039843</v>
      </c>
      <c r="K162" s="34">
        <v>-282266.26035023096</v>
      </c>
      <c r="L162" s="34">
        <v>-106461.68973195461</v>
      </c>
      <c r="M162" s="486">
        <v>591174.74359396612</v>
      </c>
      <c r="N162" s="486">
        <v>49322.179902973294</v>
      </c>
      <c r="O162" s="251">
        <f>SUM(LisäyksetVähennykset[[#This Row],[Kuntien yhdistymisavustus (-0,99 €/as)]:[TE25: Uudistuksen rahoituksen siirtymäajan porrastus (50 % kustannusperusteinen / 50 % vos-kriteerit)]])</f>
        <v>-1754443.2913634975</v>
      </c>
      <c r="P162" s="112"/>
    </row>
    <row r="163" spans="1:16" s="45" customFormat="1">
      <c r="A163" s="239">
        <v>529</v>
      </c>
      <c r="B163" s="239" t="s">
        <v>170</v>
      </c>
      <c r="C163" s="326">
        <v>-19799.009999999998</v>
      </c>
      <c r="D163" s="121">
        <v>-35798.21</v>
      </c>
      <c r="E163" s="121">
        <v>-19799.009999999998</v>
      </c>
      <c r="F163" s="121">
        <v>-199.99</v>
      </c>
      <c r="G163" s="121">
        <v>-491375.43</v>
      </c>
      <c r="H163" s="121">
        <v>-531651.29</v>
      </c>
      <c r="I163" s="121">
        <v>4326281.6549170716</v>
      </c>
      <c r="J163" s="34">
        <v>605948.42271273315</v>
      </c>
      <c r="K163" s="34">
        <v>-598609.53717436804</v>
      </c>
      <c r="L163" s="34">
        <v>-229654.54998914467</v>
      </c>
      <c r="M163" s="486">
        <v>807974.29863670806</v>
      </c>
      <c r="N163" s="486">
        <v>-147582.20200001611</v>
      </c>
      <c r="O163" s="251">
        <f>SUM(LisäyksetVähennykset[[#This Row],[Kuntien yhdistymisavustus (-0,99 €/as)]:[TE25: Uudistuksen rahoituksen siirtymäajan porrastus (50 % kustannusperusteinen / 50 % vos-kriteerit)]])</f>
        <v>3665735.1471029837</v>
      </c>
      <c r="P163" s="112"/>
    </row>
    <row r="164" spans="1:16" s="45" customFormat="1">
      <c r="A164" s="239">
        <v>531</v>
      </c>
      <c r="B164" s="239" t="s">
        <v>171</v>
      </c>
      <c r="C164" s="326">
        <v>-4916.34</v>
      </c>
      <c r="D164" s="121">
        <v>-8889.14</v>
      </c>
      <c r="E164" s="121">
        <v>-4916.34</v>
      </c>
      <c r="F164" s="121">
        <v>-49.660000000000004</v>
      </c>
      <c r="G164" s="121">
        <v>-122014.62</v>
      </c>
      <c r="H164" s="121">
        <v>-141886.47</v>
      </c>
      <c r="I164" s="121">
        <v>-1124023.1332962255</v>
      </c>
      <c r="J164" s="34">
        <v>-936740.83449696447</v>
      </c>
      <c r="K164" s="34">
        <v>-152954.53765986874</v>
      </c>
      <c r="L164" s="34">
        <v>-57026.076066107926</v>
      </c>
      <c r="M164" s="486">
        <v>439468.97913175786</v>
      </c>
      <c r="N164" s="486">
        <v>-6320.1571728963754</v>
      </c>
      <c r="O164" s="251">
        <f>SUM(LisäyksetVähennykset[[#This Row],[Kuntien yhdistymisavustus (-0,99 €/as)]:[TE25: Uudistuksen rahoituksen siirtymäajan porrastus (50 % kustannusperusteinen / 50 % vos-kriteerit)]])</f>
        <v>-2120268.3295603055</v>
      </c>
      <c r="P164" s="112"/>
    </row>
    <row r="165" spans="1:16" s="45" customFormat="1">
      <c r="A165" s="239">
        <v>535</v>
      </c>
      <c r="B165" s="239" t="s">
        <v>172</v>
      </c>
      <c r="C165" s="326">
        <v>-10349.459999999999</v>
      </c>
      <c r="D165" s="121">
        <v>-18712.66</v>
      </c>
      <c r="E165" s="121">
        <v>-10349.459999999999</v>
      </c>
      <c r="F165" s="121">
        <v>-104.54</v>
      </c>
      <c r="G165" s="121">
        <v>-256854.78</v>
      </c>
      <c r="H165" s="121">
        <v>-270194.75</v>
      </c>
      <c r="I165" s="121">
        <v>429892.18568184361</v>
      </c>
      <c r="J165" s="34">
        <v>-230473.99349415928</v>
      </c>
      <c r="K165" s="34">
        <v>-314202.15455011284</v>
      </c>
      <c r="L165" s="34">
        <v>-120046.43560110597</v>
      </c>
      <c r="M165" s="486">
        <v>249789.93803309952</v>
      </c>
      <c r="N165" s="486">
        <v>-81448.314948286046</v>
      </c>
      <c r="O165" s="251">
        <f>SUM(LisäyksetVähennykset[[#This Row],[Kuntien yhdistymisavustus (-0,99 €/as)]:[TE25: Uudistuksen rahoituksen siirtymäajan porrastus (50 % kustannusperusteinen / 50 % vos-kriteerit)]])</f>
        <v>-633054.42487872101</v>
      </c>
      <c r="P165" s="112"/>
    </row>
    <row r="166" spans="1:16" s="45" customFormat="1">
      <c r="A166" s="239">
        <v>536</v>
      </c>
      <c r="B166" s="239" t="s">
        <v>173</v>
      </c>
      <c r="C166" s="326">
        <v>-35290.53</v>
      </c>
      <c r="D166" s="121">
        <v>-63808.130000000005</v>
      </c>
      <c r="E166" s="121">
        <v>-35290.53</v>
      </c>
      <c r="F166" s="121">
        <v>-356.47</v>
      </c>
      <c r="G166" s="121">
        <v>-875846.79</v>
      </c>
      <c r="H166" s="121">
        <v>-1685182.77</v>
      </c>
      <c r="I166" s="121">
        <v>-1472683.6671168597</v>
      </c>
      <c r="J166" s="34">
        <v>-422233.54065839993</v>
      </c>
      <c r="K166" s="34">
        <v>-1065917.0126430837</v>
      </c>
      <c r="L166" s="34">
        <v>-409345.25443587382</v>
      </c>
      <c r="M166" s="486">
        <v>1727461.7992306368</v>
      </c>
      <c r="N166" s="486">
        <v>-171226.97561028088</v>
      </c>
      <c r="O166" s="251">
        <f>SUM(LisäyksetVähennykset[[#This Row],[Kuntien yhdistymisavustus (-0,99 €/as)]:[TE25: Uudistuksen rahoituksen siirtymäajan porrastus (50 % kustannusperusteinen / 50 % vos-kriteerit)]])</f>
        <v>-4509719.8712338619</v>
      </c>
      <c r="P166" s="112"/>
    </row>
    <row r="167" spans="1:16" s="45" customFormat="1">
      <c r="A167" s="239">
        <v>538</v>
      </c>
      <c r="B167" s="239" t="s">
        <v>174</v>
      </c>
      <c r="C167" s="326">
        <v>-4648.05</v>
      </c>
      <c r="D167" s="121">
        <v>-8404.0499999999993</v>
      </c>
      <c r="E167" s="121">
        <v>-4648.05</v>
      </c>
      <c r="F167" s="121">
        <v>-46.95</v>
      </c>
      <c r="G167" s="121">
        <v>-115356.15</v>
      </c>
      <c r="H167" s="121">
        <v>-42940.6</v>
      </c>
      <c r="I167" s="121">
        <v>3898.6838013950255</v>
      </c>
      <c r="J167" s="34">
        <v>-148273.09486979828</v>
      </c>
      <c r="K167" s="34">
        <v>-140047.49071222998</v>
      </c>
      <c r="L167" s="34">
        <v>-53914.101315017462</v>
      </c>
      <c r="M167" s="486">
        <v>100731.70676837518</v>
      </c>
      <c r="N167" s="486">
        <v>-60221.936463394959</v>
      </c>
      <c r="O167" s="251">
        <f>SUM(LisäyksetVähennykset[[#This Row],[Kuntien yhdistymisavustus (-0,99 €/as)]:[TE25: Uudistuksen rahoituksen siirtymäajan porrastus (50 % kustannusperusteinen / 50 % vos-kriteerit)]])</f>
        <v>-473870.08279067045</v>
      </c>
      <c r="P167" s="112"/>
    </row>
    <row r="168" spans="1:16" s="45" customFormat="1">
      <c r="A168" s="239">
        <v>541</v>
      </c>
      <c r="B168" s="239" t="s">
        <v>175</v>
      </c>
      <c r="C168" s="326">
        <v>-9038.7000000000007</v>
      </c>
      <c r="D168" s="121">
        <v>-16342.7</v>
      </c>
      <c r="E168" s="121">
        <v>-9038.7000000000007</v>
      </c>
      <c r="F168" s="121">
        <v>-91.3</v>
      </c>
      <c r="G168" s="121">
        <v>-224324.1</v>
      </c>
      <c r="H168" s="121">
        <v>-304871.34999999998</v>
      </c>
      <c r="I168" s="121">
        <v>2447775.2254937766</v>
      </c>
      <c r="J168" s="34">
        <v>1501181.3432776507</v>
      </c>
      <c r="K168" s="34">
        <v>-278737.93209585309</v>
      </c>
      <c r="L168" s="34">
        <v>-104842.54419725441</v>
      </c>
      <c r="M168" s="486">
        <v>242239.31361104886</v>
      </c>
      <c r="N168" s="486">
        <v>376657.85282530205</v>
      </c>
      <c r="O168" s="251">
        <f>SUM(LisäyksetVähennykset[[#This Row],[Kuntien yhdistymisavustus (-0,99 €/as)]:[TE25: Uudistuksen rahoituksen siirtymäajan porrastus (50 % kustannusperusteinen / 50 % vos-kriteerit)]])</f>
        <v>3620566.4089146703</v>
      </c>
      <c r="P168" s="112"/>
    </row>
    <row r="169" spans="1:16" s="45" customFormat="1">
      <c r="A169" s="239">
        <v>543</v>
      </c>
      <c r="B169" s="239" t="s">
        <v>176</v>
      </c>
      <c r="C169" s="326">
        <v>-44337.15</v>
      </c>
      <c r="D169" s="121">
        <v>-80165.150000000009</v>
      </c>
      <c r="E169" s="121">
        <v>-44337.15</v>
      </c>
      <c r="F169" s="121">
        <v>-447.85</v>
      </c>
      <c r="G169" s="121">
        <v>-1100367.45</v>
      </c>
      <c r="H169" s="121">
        <v>-1787345.38</v>
      </c>
      <c r="I169" s="121">
        <v>5228666.4970606994</v>
      </c>
      <c r="J169" s="34">
        <v>2213600.5661121807</v>
      </c>
      <c r="K169" s="34">
        <v>-1340704.4233601035</v>
      </c>
      <c r="L169" s="34">
        <v>-514279.66504644451</v>
      </c>
      <c r="M169" s="486">
        <v>1069403.5095069902</v>
      </c>
      <c r="N169" s="486">
        <v>-765645.30956447124</v>
      </c>
      <c r="O169" s="251">
        <f>SUM(LisäyksetVähennykset[[#This Row],[Kuntien yhdistymisavustus (-0,99 €/as)]:[TE25: Uudistuksen rahoituksen siirtymäajan porrastus (50 % kustannusperusteinen / 50 % vos-kriteerit)]])</f>
        <v>2834041.0447088503</v>
      </c>
      <c r="P169" s="112"/>
    </row>
    <row r="170" spans="1:16" s="45" customFormat="1">
      <c r="A170" s="239">
        <v>545</v>
      </c>
      <c r="B170" s="239" t="s">
        <v>177</v>
      </c>
      <c r="C170" s="326">
        <v>-9524.7899999999991</v>
      </c>
      <c r="D170" s="121">
        <v>-17221.59</v>
      </c>
      <c r="E170" s="121">
        <v>-9524.7899999999991</v>
      </c>
      <c r="F170" s="121">
        <v>-96.210000000000008</v>
      </c>
      <c r="G170" s="121">
        <v>-236387.97</v>
      </c>
      <c r="H170" s="121">
        <v>-90551.01</v>
      </c>
      <c r="I170" s="121">
        <v>1843044.0596636783</v>
      </c>
      <c r="J170" s="34">
        <v>1257474.4448946011</v>
      </c>
      <c r="K170" s="34">
        <v>-289021.35034151858</v>
      </c>
      <c r="L170" s="34">
        <v>-110480.84531454377</v>
      </c>
      <c r="M170" s="486">
        <v>254727.42332646169</v>
      </c>
      <c r="N170" s="486">
        <v>-212548.51166494758</v>
      </c>
      <c r="O170" s="251">
        <f>SUM(LisäyksetVähennykset[[#This Row],[Kuntien yhdistymisavustus (-0,99 €/as)]:[TE25: Uudistuksen rahoituksen siirtymäajan porrastus (50 % kustannusperusteinen / 50 % vos-kriteerit)]])</f>
        <v>2379888.8605637313</v>
      </c>
      <c r="P170" s="112"/>
    </row>
    <row r="171" spans="1:16" s="45" customFormat="1">
      <c r="A171" s="239">
        <v>560</v>
      </c>
      <c r="B171" s="239" t="s">
        <v>178</v>
      </c>
      <c r="C171" s="326">
        <v>-15512.31</v>
      </c>
      <c r="D171" s="121">
        <v>-28047.510000000002</v>
      </c>
      <c r="E171" s="121">
        <v>-15512.31</v>
      </c>
      <c r="F171" s="121">
        <v>-156.69</v>
      </c>
      <c r="G171" s="121">
        <v>-384987.33</v>
      </c>
      <c r="H171" s="121">
        <v>-679559.16</v>
      </c>
      <c r="I171" s="121">
        <v>140866.56848577116</v>
      </c>
      <c r="J171" s="34">
        <v>-31288.248095114828</v>
      </c>
      <c r="K171" s="34">
        <v>-474514.91523620556</v>
      </c>
      <c r="L171" s="34">
        <v>-179931.85378168448</v>
      </c>
      <c r="M171" s="486">
        <v>353280.8167155399</v>
      </c>
      <c r="N171" s="486">
        <v>-27338.462308985996</v>
      </c>
      <c r="O171" s="251">
        <f>SUM(LisäyksetVähennykset[[#This Row],[Kuntien yhdistymisavustus (-0,99 €/as)]:[TE25: Uudistuksen rahoituksen siirtymäajan porrastus (50 % kustannusperusteinen / 50 % vos-kriteerit)]])</f>
        <v>-1342701.4042206798</v>
      </c>
      <c r="P171" s="112"/>
    </row>
    <row r="172" spans="1:16" s="45" customFormat="1">
      <c r="A172" s="239">
        <v>561</v>
      </c>
      <c r="B172" s="239" t="s">
        <v>179</v>
      </c>
      <c r="C172" s="326">
        <v>-1301.8499999999999</v>
      </c>
      <c r="D172" s="121">
        <v>-2353.85</v>
      </c>
      <c r="E172" s="121">
        <v>-1301.8499999999999</v>
      </c>
      <c r="F172" s="121">
        <v>-13.15</v>
      </c>
      <c r="G172" s="121">
        <v>-32309.55</v>
      </c>
      <c r="H172" s="121">
        <v>-32325.31</v>
      </c>
      <c r="I172" s="121">
        <v>397799.26799250866</v>
      </c>
      <c r="J172" s="34">
        <v>292977.91558138322</v>
      </c>
      <c r="K172" s="34">
        <v>-39716.310350561347</v>
      </c>
      <c r="L172" s="34">
        <v>-15100.541688870706</v>
      </c>
      <c r="M172" s="486">
        <v>58560.919115655997</v>
      </c>
      <c r="N172" s="486">
        <v>-5246.011786561925</v>
      </c>
      <c r="O172" s="251">
        <f>SUM(LisäyksetVähennykset[[#This Row],[Kuntien yhdistymisavustus (-0,99 €/as)]:[TE25: Uudistuksen rahoituksen siirtymäajan porrastus (50 % kustannusperusteinen / 50 % vos-kriteerit)]])</f>
        <v>619669.6788635538</v>
      </c>
      <c r="P172" s="112"/>
    </row>
    <row r="173" spans="1:16" s="45" customFormat="1">
      <c r="A173" s="239">
        <v>562</v>
      </c>
      <c r="B173" s="239" t="s">
        <v>180</v>
      </c>
      <c r="C173" s="326">
        <v>-8750.61</v>
      </c>
      <c r="D173" s="121">
        <v>-15821.81</v>
      </c>
      <c r="E173" s="121">
        <v>-8750.61</v>
      </c>
      <c r="F173" s="121">
        <v>-88.39</v>
      </c>
      <c r="G173" s="121">
        <v>-217174.23</v>
      </c>
      <c r="H173" s="121">
        <v>-279869.84000000003</v>
      </c>
      <c r="I173" s="121">
        <v>-16000.239089833281</v>
      </c>
      <c r="J173" s="34">
        <v>-17766.793564019765</v>
      </c>
      <c r="K173" s="34">
        <v>-269449.68335783266</v>
      </c>
      <c r="L173" s="34">
        <v>-101500.90341287313</v>
      </c>
      <c r="M173" s="486">
        <v>237881.160562417</v>
      </c>
      <c r="N173" s="486">
        <v>-28063.908190893999</v>
      </c>
      <c r="O173" s="251">
        <f>SUM(LisäyksetVähennykset[[#This Row],[Kuntien yhdistymisavustus (-0,99 €/as)]:[TE25: Uudistuksen rahoituksen siirtymäajan porrastus (50 % kustannusperusteinen / 50 % vos-kriteerit)]])</f>
        <v>-725355.85705303587</v>
      </c>
      <c r="P173" s="112"/>
    </row>
    <row r="174" spans="1:16" s="45" customFormat="1">
      <c r="A174" s="239">
        <v>563</v>
      </c>
      <c r="B174" s="239" t="s">
        <v>181</v>
      </c>
      <c r="C174" s="326">
        <v>-6908.22</v>
      </c>
      <c r="D174" s="121">
        <v>-12490.62</v>
      </c>
      <c r="E174" s="121">
        <v>-6908.22</v>
      </c>
      <c r="F174" s="121">
        <v>-69.78</v>
      </c>
      <c r="G174" s="121">
        <v>-171449.46</v>
      </c>
      <c r="H174" s="121">
        <v>-234338.79</v>
      </c>
      <c r="I174" s="121">
        <v>-676870.36458423827</v>
      </c>
      <c r="J174" s="34">
        <v>-920576.5948408813</v>
      </c>
      <c r="K174" s="34">
        <v>-211850.47852140732</v>
      </c>
      <c r="L174" s="34">
        <v>-80130.479015163335</v>
      </c>
      <c r="M174" s="486">
        <v>228221.41507628036</v>
      </c>
      <c r="N174" s="486">
        <v>62971.672705493867</v>
      </c>
      <c r="O174" s="251">
        <f>SUM(LisäyksetVähennykset[[#This Row],[Kuntien yhdistymisavustus (-0,99 €/as)]:[TE25: Uudistuksen rahoituksen siirtymäajan porrastus (50 % kustannusperusteinen / 50 % vos-kriteerit)]])</f>
        <v>-2030399.9191799155</v>
      </c>
      <c r="P174" s="112"/>
    </row>
    <row r="175" spans="1:16" s="45" customFormat="1">
      <c r="A175" s="239">
        <v>564</v>
      </c>
      <c r="B175" s="239" t="s">
        <v>182</v>
      </c>
      <c r="C175" s="326">
        <v>-212486.66999999998</v>
      </c>
      <c r="D175" s="121">
        <v>-384193.07</v>
      </c>
      <c r="E175" s="121">
        <v>-212486.66999999998</v>
      </c>
      <c r="F175" s="121">
        <v>-2146.33</v>
      </c>
      <c r="G175" s="121">
        <v>-5273532.8100000005</v>
      </c>
      <c r="H175" s="121">
        <v>-11771176.17</v>
      </c>
      <c r="I175" s="121">
        <v>-15371324.843891574</v>
      </c>
      <c r="J175" s="34">
        <v>-2862780.827886295</v>
      </c>
      <c r="K175" s="34">
        <v>-6388626.3592602275</v>
      </c>
      <c r="L175" s="34">
        <v>-2464695.4861653126</v>
      </c>
      <c r="M175" s="486">
        <v>7460840.1531818509</v>
      </c>
      <c r="N175" s="486">
        <v>-1285093.2231758833</v>
      </c>
      <c r="O175" s="251">
        <f>SUM(LisäyksetVähennykset[[#This Row],[Kuntien yhdistymisavustus (-0,99 €/as)]:[TE25: Uudistuksen rahoituksen siirtymäajan porrastus (50 % kustannusperusteinen / 50 % vos-kriteerit)]])</f>
        <v>-38767702.307197452</v>
      </c>
      <c r="P175" s="112"/>
    </row>
    <row r="176" spans="1:16" s="45" customFormat="1">
      <c r="A176" s="239">
        <v>576</v>
      </c>
      <c r="B176" s="239" t="s">
        <v>183</v>
      </c>
      <c r="C176" s="326">
        <v>-2698.74</v>
      </c>
      <c r="D176" s="121">
        <v>-4879.54</v>
      </c>
      <c r="E176" s="121">
        <v>-2698.74</v>
      </c>
      <c r="F176" s="121">
        <v>-27.26</v>
      </c>
      <c r="G176" s="121">
        <v>-66977.820000000007</v>
      </c>
      <c r="H176" s="121">
        <v>-69892.100000000006</v>
      </c>
      <c r="I176" s="121">
        <v>360555.22111073241</v>
      </c>
      <c r="J176" s="34">
        <v>317823.29811886168</v>
      </c>
      <c r="K176" s="34">
        <v>-82930.792303753755</v>
      </c>
      <c r="L176" s="34">
        <v>-31303.480337537298</v>
      </c>
      <c r="M176" s="486">
        <v>105369.78120705643</v>
      </c>
      <c r="N176" s="486">
        <v>6900.9522653371678</v>
      </c>
      <c r="O176" s="251">
        <f>SUM(LisäyksetVähennykset[[#This Row],[Kuntien yhdistymisavustus (-0,99 €/as)]:[TE25: Uudistuksen rahoituksen siirtymäajan porrastus (50 % kustannusperusteinen / 50 % vos-kriteerit)]])</f>
        <v>529240.78006069665</v>
      </c>
      <c r="P176" s="112"/>
    </row>
    <row r="177" spans="1:16" s="45" customFormat="1">
      <c r="A177" s="239">
        <v>577</v>
      </c>
      <c r="B177" s="239" t="s">
        <v>184</v>
      </c>
      <c r="C177" s="326">
        <v>-11123.64</v>
      </c>
      <c r="D177" s="121">
        <v>-20112.439999999999</v>
      </c>
      <c r="E177" s="121">
        <v>-11123.64</v>
      </c>
      <c r="F177" s="121">
        <v>-112.36</v>
      </c>
      <c r="G177" s="121">
        <v>-276068.52</v>
      </c>
      <c r="H177" s="121">
        <v>-396293.17</v>
      </c>
      <c r="I177" s="121">
        <v>318668.26495614124</v>
      </c>
      <c r="J177" s="34">
        <v>-22147.347142255414</v>
      </c>
      <c r="K177" s="34">
        <v>-335884.78715607611</v>
      </c>
      <c r="L177" s="34">
        <v>-129026.37750277662</v>
      </c>
      <c r="M177" s="486">
        <v>524145.50081178802</v>
      </c>
      <c r="N177" s="486">
        <v>-131263.65846267162</v>
      </c>
      <c r="O177" s="251">
        <f>SUM(LisäyksetVähennykset[[#This Row],[Kuntien yhdistymisavustus (-0,99 €/as)]:[TE25: Uudistuksen rahoituksen siirtymäajan porrastus (50 % kustannusperusteinen / 50 % vos-kriteerit)]])</f>
        <v>-490342.17449585052</v>
      </c>
      <c r="P177" s="112"/>
    </row>
    <row r="178" spans="1:16" s="45" customFormat="1">
      <c r="A178" s="239">
        <v>578</v>
      </c>
      <c r="B178" s="239" t="s">
        <v>185</v>
      </c>
      <c r="C178" s="326">
        <v>-3006.63</v>
      </c>
      <c r="D178" s="121">
        <v>-5436.2300000000005</v>
      </c>
      <c r="E178" s="121">
        <v>-3006.63</v>
      </c>
      <c r="F178" s="121">
        <v>-30.37</v>
      </c>
      <c r="G178" s="121">
        <v>-74619.09</v>
      </c>
      <c r="H178" s="121">
        <v>-106989.84</v>
      </c>
      <c r="I178" s="121">
        <v>-339947.6782272585</v>
      </c>
      <c r="J178" s="34">
        <v>-214285.21843009995</v>
      </c>
      <c r="K178" s="34">
        <v>-93485.620415140598</v>
      </c>
      <c r="L178" s="34">
        <v>-34874.787155209378</v>
      </c>
      <c r="M178" s="486">
        <v>128364.72033847129</v>
      </c>
      <c r="N178" s="486">
        <v>72840.66675085458</v>
      </c>
      <c r="O178" s="251">
        <f>SUM(LisäyksetVähennykset[[#This Row],[Kuntien yhdistymisavustus (-0,99 €/as)]:[TE25: Uudistuksen rahoituksen siirtymäajan porrastus (50 % kustannusperusteinen / 50 % vos-kriteerit)]])</f>
        <v>-674476.7071383826</v>
      </c>
      <c r="P178" s="112"/>
    </row>
    <row r="179" spans="1:16" s="45" customFormat="1">
      <c r="A179" s="239">
        <v>580</v>
      </c>
      <c r="B179" s="239" t="s">
        <v>186</v>
      </c>
      <c r="C179" s="326">
        <v>-4322.34</v>
      </c>
      <c r="D179" s="121">
        <v>-7815.14</v>
      </c>
      <c r="E179" s="121">
        <v>-4322.34</v>
      </c>
      <c r="F179" s="121">
        <v>-43.660000000000004</v>
      </c>
      <c r="G179" s="121">
        <v>-107272.62</v>
      </c>
      <c r="H179" s="121">
        <v>-134488.79999999999</v>
      </c>
      <c r="I179" s="121">
        <v>-343148.19433847629</v>
      </c>
      <c r="J179" s="34">
        <v>-8824.7375307352777</v>
      </c>
      <c r="K179" s="34">
        <v>-133835.22045238517</v>
      </c>
      <c r="L179" s="34">
        <v>-50136.095067383649</v>
      </c>
      <c r="M179" s="486">
        <v>129207.67418923805</v>
      </c>
      <c r="N179" s="486">
        <v>-10505.562929123553</v>
      </c>
      <c r="O179" s="251">
        <f>SUM(LisäyksetVähennykset[[#This Row],[Kuntien yhdistymisavustus (-0,99 €/as)]:[TE25: Uudistuksen rahoituksen siirtymäajan porrastus (50 % kustannusperusteinen / 50 % vos-kriteerit)]])</f>
        <v>-675507.03612886567</v>
      </c>
      <c r="P179" s="112"/>
    </row>
    <row r="180" spans="1:16" s="45" customFormat="1">
      <c r="A180" s="239">
        <v>581</v>
      </c>
      <c r="B180" s="239" t="s">
        <v>187</v>
      </c>
      <c r="C180" s="326">
        <v>-6061.7699999999995</v>
      </c>
      <c r="D180" s="121">
        <v>-10960.17</v>
      </c>
      <c r="E180" s="121">
        <v>-6061.7699999999995</v>
      </c>
      <c r="F180" s="121">
        <v>-61.230000000000004</v>
      </c>
      <c r="G180" s="121">
        <v>-150442.11000000002</v>
      </c>
      <c r="H180" s="121">
        <v>-192091.73</v>
      </c>
      <c r="I180" s="121">
        <v>-642821.91530364996</v>
      </c>
      <c r="J180" s="34">
        <v>-363810.76497418323</v>
      </c>
      <c r="K180" s="34">
        <v>-188177.50690015397</v>
      </c>
      <c r="L180" s="34">
        <v>-70312.256091981239</v>
      </c>
      <c r="M180" s="486">
        <v>427869.86712929938</v>
      </c>
      <c r="N180" s="486">
        <v>63324.172701084462</v>
      </c>
      <c r="O180" s="251">
        <f>SUM(LisäyksetVähennykset[[#This Row],[Kuntien yhdistymisavustus (-0,99 €/as)]:[TE25: Uudistuksen rahoituksen siirtymäajan porrastus (50 % kustannusperusteinen / 50 % vos-kriteerit)]])</f>
        <v>-1139607.1834395847</v>
      </c>
      <c r="P180" s="112"/>
    </row>
    <row r="181" spans="1:16" s="45" customFormat="1">
      <c r="A181" s="239">
        <v>583</v>
      </c>
      <c r="B181" s="239" t="s">
        <v>188</v>
      </c>
      <c r="C181" s="326">
        <v>-902.88</v>
      </c>
      <c r="D181" s="121">
        <v>-1632.48</v>
      </c>
      <c r="E181" s="121">
        <v>-902.88</v>
      </c>
      <c r="F181" s="121">
        <v>-9.120000000000001</v>
      </c>
      <c r="G181" s="121">
        <v>-22407.84</v>
      </c>
      <c r="H181" s="121">
        <v>-7714.89</v>
      </c>
      <c r="I181" s="121">
        <v>-506479.02569192811</v>
      </c>
      <c r="J181" s="34">
        <v>314765.31697848206</v>
      </c>
      <c r="K181" s="34">
        <v>-28558.349204238111</v>
      </c>
      <c r="L181" s="34">
        <v>-10472.7711180609</v>
      </c>
      <c r="M181" s="486">
        <v>27242.427337981306</v>
      </c>
      <c r="N181" s="486">
        <v>30162.645499666527</v>
      </c>
      <c r="O181" s="251">
        <f>SUM(LisäyksetVähennykset[[#This Row],[Kuntien yhdistymisavustus (-0,99 €/as)]:[TE25: Uudistuksen rahoituksen siirtymäajan porrastus (50 % kustannusperusteinen / 50 % vos-kriteerit)]])</f>
        <v>-206909.84619809722</v>
      </c>
      <c r="P181" s="112"/>
    </row>
    <row r="182" spans="1:16" s="45" customFormat="1">
      <c r="A182" s="239">
        <v>584</v>
      </c>
      <c r="B182" s="239" t="s">
        <v>189</v>
      </c>
      <c r="C182" s="326">
        <v>-2552.2199999999998</v>
      </c>
      <c r="D182" s="121">
        <v>-4614.62</v>
      </c>
      <c r="E182" s="121">
        <v>-2552.2199999999998</v>
      </c>
      <c r="F182" s="121">
        <v>-25.78</v>
      </c>
      <c r="G182" s="121">
        <v>-63341.46</v>
      </c>
      <c r="H182" s="121">
        <v>-38596.25</v>
      </c>
      <c r="I182" s="121">
        <v>-416568.57535736274</v>
      </c>
      <c r="J182" s="34">
        <v>-377904.06911364692</v>
      </c>
      <c r="K182" s="34">
        <v>-80005.597084312263</v>
      </c>
      <c r="L182" s="34">
        <v>-29603.95169118531</v>
      </c>
      <c r="M182" s="486">
        <v>82793.226695439182</v>
      </c>
      <c r="N182" s="486">
        <v>-11229.72301365975</v>
      </c>
      <c r="O182" s="251">
        <f>SUM(LisäyksetVähennykset[[#This Row],[Kuntien yhdistymisavustus (-0,99 €/as)]:[TE25: Uudistuksen rahoituksen siirtymäajan porrastus (50 % kustannusperusteinen / 50 % vos-kriteerit)]])</f>
        <v>-944201.23956472788</v>
      </c>
      <c r="P182" s="112"/>
    </row>
    <row r="183" spans="1:16" s="45" customFormat="1">
      <c r="A183" s="239">
        <v>588</v>
      </c>
      <c r="B183" s="239" t="s">
        <v>190</v>
      </c>
      <c r="C183" s="326">
        <v>-1561.23</v>
      </c>
      <c r="D183" s="121">
        <v>-2822.83</v>
      </c>
      <c r="E183" s="121">
        <v>-1561.23</v>
      </c>
      <c r="F183" s="121">
        <v>-15.77</v>
      </c>
      <c r="G183" s="121">
        <v>-38746.89</v>
      </c>
      <c r="H183" s="121">
        <v>-52924.31</v>
      </c>
      <c r="I183" s="121">
        <v>-632824.65545089217</v>
      </c>
      <c r="J183" s="34">
        <v>-329432.65042087465</v>
      </c>
      <c r="K183" s="34">
        <v>-48250.642794911277</v>
      </c>
      <c r="L183" s="34">
        <v>-18109.166724980307</v>
      </c>
      <c r="M183" s="486">
        <v>59942.280236785111</v>
      </c>
      <c r="N183" s="486">
        <v>34075.59168951145</v>
      </c>
      <c r="O183" s="251">
        <f>SUM(LisäyksetVähennykset[[#This Row],[Kuntien yhdistymisavustus (-0,99 €/as)]:[TE25: Uudistuksen rahoituksen siirtymäajan porrastus (50 % kustannusperusteinen / 50 % vos-kriteerit)]])</f>
        <v>-1032231.5034653619</v>
      </c>
      <c r="P183" s="112"/>
    </row>
    <row r="184" spans="1:16" s="45" customFormat="1">
      <c r="A184" s="239">
        <v>592</v>
      </c>
      <c r="B184" s="239" t="s">
        <v>191</v>
      </c>
      <c r="C184" s="326">
        <v>-3560.04</v>
      </c>
      <c r="D184" s="121">
        <v>-6436.84</v>
      </c>
      <c r="E184" s="121">
        <v>-3560.04</v>
      </c>
      <c r="F184" s="121">
        <v>-35.96</v>
      </c>
      <c r="G184" s="121">
        <v>-88353.72</v>
      </c>
      <c r="H184" s="121">
        <v>-102575.67</v>
      </c>
      <c r="I184" s="121">
        <v>-424131.91293202521</v>
      </c>
      <c r="J184" s="34">
        <v>-259956.59156522315</v>
      </c>
      <c r="K184" s="34">
        <v>-110101.93552763817</v>
      </c>
      <c r="L184" s="34">
        <v>-41293.952785687499</v>
      </c>
      <c r="M184" s="486">
        <v>172390.47068399773</v>
      </c>
      <c r="N184" s="486">
        <v>4900.5247346612741</v>
      </c>
      <c r="O184" s="251">
        <f>SUM(LisäyksetVähennykset[[#This Row],[Kuntien yhdistymisavustus (-0,99 €/as)]:[TE25: Uudistuksen rahoituksen siirtymäajan porrastus (50 % kustannusperusteinen / 50 % vos-kriteerit)]])</f>
        <v>-862715.66739191511</v>
      </c>
      <c r="P184" s="112"/>
    </row>
    <row r="185" spans="1:16" s="45" customFormat="1">
      <c r="A185" s="239">
        <v>593</v>
      </c>
      <c r="B185" s="239" t="s">
        <v>192</v>
      </c>
      <c r="C185" s="326">
        <v>-16879.5</v>
      </c>
      <c r="D185" s="121">
        <v>-30519.5</v>
      </c>
      <c r="E185" s="121">
        <v>-16879.5</v>
      </c>
      <c r="F185" s="121">
        <v>-170.5</v>
      </c>
      <c r="G185" s="121">
        <v>-418918.5</v>
      </c>
      <c r="H185" s="121">
        <v>-851070.58</v>
      </c>
      <c r="I185" s="121">
        <v>-1530435.8362037388</v>
      </c>
      <c r="J185" s="34">
        <v>-1231152.2891638582</v>
      </c>
      <c r="K185" s="34">
        <v>-514985.14188043744</v>
      </c>
      <c r="L185" s="34">
        <v>-195790.29338041486</v>
      </c>
      <c r="M185" s="486">
        <v>978607.24830633495</v>
      </c>
      <c r="N185" s="486">
        <v>139753.44588715548</v>
      </c>
      <c r="O185" s="251">
        <f>SUM(LisäyksetVähennykset[[#This Row],[Kuntien yhdistymisavustus (-0,99 €/as)]:[TE25: Uudistuksen rahoituksen siirtymäajan porrastus (50 % kustannusperusteinen / 50 % vos-kriteerit)]])</f>
        <v>-3688440.9464349593</v>
      </c>
      <c r="P185" s="112"/>
    </row>
    <row r="186" spans="1:16" s="45" customFormat="1">
      <c r="A186" s="239">
        <v>595</v>
      </c>
      <c r="B186" s="239" t="s">
        <v>193</v>
      </c>
      <c r="C186" s="326">
        <v>-4032.27</v>
      </c>
      <c r="D186" s="121">
        <v>-7290.67</v>
      </c>
      <c r="E186" s="121">
        <v>-4032.27</v>
      </c>
      <c r="F186" s="121">
        <v>-40.730000000000004</v>
      </c>
      <c r="G186" s="121">
        <v>-100073.61</v>
      </c>
      <c r="H186" s="121">
        <v>-159475.63</v>
      </c>
      <c r="I186" s="121">
        <v>974846.0326094483</v>
      </c>
      <c r="J186" s="34">
        <v>218045.83501442414</v>
      </c>
      <c r="K186" s="34">
        <v>-124848.53823183292</v>
      </c>
      <c r="L186" s="34">
        <v>-46771.487679673301</v>
      </c>
      <c r="M186" s="486">
        <v>118304.07205779743</v>
      </c>
      <c r="N186" s="486">
        <v>43937.662096600106</v>
      </c>
      <c r="O186" s="251">
        <f>SUM(LisäyksetVähennykset[[#This Row],[Kuntien yhdistymisavustus (-0,99 €/as)]:[TE25: Uudistuksen rahoituksen siirtymäajan porrastus (50 % kustannusperusteinen / 50 % vos-kriteerit)]])</f>
        <v>908568.39586676401</v>
      </c>
      <c r="P186" s="112"/>
    </row>
    <row r="187" spans="1:16" s="45" customFormat="1">
      <c r="A187" s="239">
        <v>598</v>
      </c>
      <c r="B187" s="239" t="s">
        <v>194</v>
      </c>
      <c r="C187" s="326">
        <v>-19280.25</v>
      </c>
      <c r="D187" s="121">
        <v>-34860.25</v>
      </c>
      <c r="E187" s="121">
        <v>-19280.25</v>
      </c>
      <c r="F187" s="121">
        <v>-194.75</v>
      </c>
      <c r="G187" s="121">
        <v>-478500.75</v>
      </c>
      <c r="H187" s="121">
        <v>-983325.67</v>
      </c>
      <c r="I187" s="121">
        <v>-7093329.5605405187</v>
      </c>
      <c r="J187" s="34">
        <v>-3411869.5419270727</v>
      </c>
      <c r="K187" s="34">
        <v>-579218.81010116299</v>
      </c>
      <c r="L187" s="34">
        <v>-223637.29991692546</v>
      </c>
      <c r="M187" s="486">
        <v>1295711.6964148963</v>
      </c>
      <c r="N187" s="486">
        <v>56772.992451597005</v>
      </c>
      <c r="O187" s="251">
        <f>SUM(LisäyksetVähennykset[[#This Row],[Kuntien yhdistymisavustus (-0,99 €/as)]:[TE25: Uudistuksen rahoituksen siirtymäajan porrastus (50 % kustannusperusteinen / 50 % vos-kriteerit)]])</f>
        <v>-11491012.443619184</v>
      </c>
      <c r="P187" s="112"/>
    </row>
    <row r="188" spans="1:16" s="45" customFormat="1">
      <c r="A188" s="239">
        <v>599</v>
      </c>
      <c r="B188" s="239" t="s">
        <v>195</v>
      </c>
      <c r="C188" s="326">
        <v>-11112.75</v>
      </c>
      <c r="D188" s="121">
        <v>-20092.75</v>
      </c>
      <c r="E188" s="121">
        <v>-11112.75</v>
      </c>
      <c r="F188" s="121">
        <v>-112.25</v>
      </c>
      <c r="G188" s="121">
        <v>-275798.25</v>
      </c>
      <c r="H188" s="121">
        <v>-81878.100000000006</v>
      </c>
      <c r="I188" s="121">
        <v>-1978766.8261578125</v>
      </c>
      <c r="J188" s="34">
        <v>-1633253.6400584206</v>
      </c>
      <c r="K188" s="34">
        <v>-337935.43947485986</v>
      </c>
      <c r="L188" s="34">
        <v>-128900.06118446667</v>
      </c>
      <c r="M188" s="486">
        <v>168692.22220505498</v>
      </c>
      <c r="N188" s="486">
        <v>-129235.52660442534</v>
      </c>
      <c r="O188" s="251">
        <f>SUM(LisäyksetVähennykset[[#This Row],[Kuntien yhdistymisavustus (-0,99 €/as)]:[TE25: Uudistuksen rahoituksen siirtymäajan porrastus (50 % kustannusperusteinen / 50 % vos-kriteerit)]])</f>
        <v>-4439506.1212749304</v>
      </c>
      <c r="P188" s="112"/>
    </row>
    <row r="189" spans="1:16" s="45" customFormat="1">
      <c r="A189" s="239">
        <v>601</v>
      </c>
      <c r="B189" s="239" t="s">
        <v>196</v>
      </c>
      <c r="C189" s="326">
        <v>-3701.61</v>
      </c>
      <c r="D189" s="121">
        <v>-6692.81</v>
      </c>
      <c r="E189" s="121">
        <v>-3701.61</v>
      </c>
      <c r="F189" s="121">
        <v>-37.39</v>
      </c>
      <c r="G189" s="121">
        <v>-91867.23</v>
      </c>
      <c r="H189" s="121">
        <v>-97754.26</v>
      </c>
      <c r="I189" s="121">
        <v>774899.24333972821</v>
      </c>
      <c r="J189" s="34">
        <v>319447.1850095574</v>
      </c>
      <c r="K189" s="34">
        <v>-114173.0835134588</v>
      </c>
      <c r="L189" s="34">
        <v>-42936.064923716782</v>
      </c>
      <c r="M189" s="486">
        <v>125951.79914684387</v>
      </c>
      <c r="N189" s="486">
        <v>150595.61964359065</v>
      </c>
      <c r="O189" s="251">
        <f>SUM(LisäyksetVähennykset[[#This Row],[Kuntien yhdistymisavustus (-0,99 €/as)]:[TE25: Uudistuksen rahoituksen siirtymäajan porrastus (50 % kustannusperusteinen / 50 % vos-kriteerit)]])</f>
        <v>1010029.7887025444</v>
      </c>
      <c r="P189" s="112"/>
    </row>
    <row r="190" spans="1:16" s="45" customFormat="1">
      <c r="A190" s="239">
        <v>604</v>
      </c>
      <c r="B190" s="239" t="s">
        <v>197</v>
      </c>
      <c r="C190" s="326">
        <v>-20555.37</v>
      </c>
      <c r="D190" s="121">
        <v>-37165.770000000004</v>
      </c>
      <c r="E190" s="121">
        <v>-20555.37</v>
      </c>
      <c r="F190" s="121">
        <v>-207.63</v>
      </c>
      <c r="G190" s="121">
        <v>-510146.91000000003</v>
      </c>
      <c r="H190" s="121">
        <v>-652134.96</v>
      </c>
      <c r="I190" s="121">
        <v>3957315.9614879279</v>
      </c>
      <c r="J190" s="34">
        <v>1469539.4976111194</v>
      </c>
      <c r="K190" s="34">
        <v>-615346.47889385291</v>
      </c>
      <c r="L190" s="34">
        <v>-238427.79246085358</v>
      </c>
      <c r="M190" s="486">
        <v>718329.82025030383</v>
      </c>
      <c r="N190" s="486">
        <v>-268294.99611010717</v>
      </c>
      <c r="O190" s="251">
        <f>SUM(LisäyksetVähennykset[[#This Row],[Kuntien yhdistymisavustus (-0,99 €/as)]:[TE25: Uudistuksen rahoituksen siirtymäajan porrastus (50 % kustannusperusteinen / 50 % vos-kriteerit)]])</f>
        <v>3782350.0018845373</v>
      </c>
      <c r="P190" s="112"/>
    </row>
    <row r="191" spans="1:16" s="45" customFormat="1">
      <c r="A191" s="239">
        <v>607</v>
      </c>
      <c r="B191" s="239" t="s">
        <v>198</v>
      </c>
      <c r="C191" s="326">
        <v>-4023.36</v>
      </c>
      <c r="D191" s="121">
        <v>-7274.56</v>
      </c>
      <c r="E191" s="121">
        <v>-4023.36</v>
      </c>
      <c r="F191" s="121">
        <v>-40.64</v>
      </c>
      <c r="G191" s="121">
        <v>-99852.479999999996</v>
      </c>
      <c r="H191" s="121">
        <v>-166002.07</v>
      </c>
      <c r="I191" s="121">
        <v>-553947.34675723885</v>
      </c>
      <c r="J191" s="34">
        <v>-77561.410071134902</v>
      </c>
      <c r="K191" s="34">
        <v>-123159.76573401103</v>
      </c>
      <c r="L191" s="34">
        <v>-46668.137964692432</v>
      </c>
      <c r="M191" s="486">
        <v>127735.09787476307</v>
      </c>
      <c r="N191" s="486">
        <v>113330.17470947042</v>
      </c>
      <c r="O191" s="251">
        <f>SUM(LisäyksetVähennykset[[#This Row],[Kuntien yhdistymisavustus (-0,99 €/as)]:[TE25: Uudistuksen rahoituksen siirtymäajan porrastus (50 % kustannusperusteinen / 50 % vos-kriteerit)]])</f>
        <v>-841487.85794284381</v>
      </c>
      <c r="P191" s="112"/>
    </row>
    <row r="192" spans="1:16" s="45" customFormat="1">
      <c r="A192" s="239">
        <v>608</v>
      </c>
      <c r="B192" s="239" t="s">
        <v>199</v>
      </c>
      <c r="C192" s="326">
        <v>-1923.57</v>
      </c>
      <c r="D192" s="121">
        <v>-3477.9700000000003</v>
      </c>
      <c r="E192" s="121">
        <v>-1923.57</v>
      </c>
      <c r="F192" s="121">
        <v>-19.43</v>
      </c>
      <c r="G192" s="121">
        <v>-47739.51</v>
      </c>
      <c r="H192" s="121">
        <v>-36297.29</v>
      </c>
      <c r="I192" s="121">
        <v>-196405.88805883913</v>
      </c>
      <c r="J192" s="34">
        <v>-113150.37408977823</v>
      </c>
      <c r="K192" s="34">
        <v>-59710.170458702712</v>
      </c>
      <c r="L192" s="34">
        <v>-22312.055134202117</v>
      </c>
      <c r="M192" s="486">
        <v>99936.001041662501</v>
      </c>
      <c r="N192" s="486">
        <v>1411.2688114249613</v>
      </c>
      <c r="O192" s="251">
        <f>SUM(LisäyksetVähennykset[[#This Row],[Kuntien yhdistymisavustus (-0,99 €/as)]:[TE25: Uudistuksen rahoituksen siirtymäajan porrastus (50 % kustannusperusteinen / 50 % vos-kriteerit)]])</f>
        <v>-381612.55788843473</v>
      </c>
      <c r="P192" s="112"/>
    </row>
    <row r="193" spans="1:16" s="45" customFormat="1">
      <c r="A193" s="239">
        <v>609</v>
      </c>
      <c r="B193" s="239" t="s">
        <v>200</v>
      </c>
      <c r="C193" s="326">
        <v>-82274.94</v>
      </c>
      <c r="D193" s="121">
        <v>-148759.74</v>
      </c>
      <c r="E193" s="121">
        <v>-82274.94</v>
      </c>
      <c r="F193" s="121">
        <v>-831.06000000000006</v>
      </c>
      <c r="G193" s="121">
        <v>-2041914.42</v>
      </c>
      <c r="H193" s="121">
        <v>-4790512.47</v>
      </c>
      <c r="I193" s="121">
        <v>-15803381.020001132</v>
      </c>
      <c r="J193" s="34">
        <v>-3186749.4108127672</v>
      </c>
      <c r="K193" s="34">
        <v>-2509184.2085941206</v>
      </c>
      <c r="L193" s="34">
        <v>-954331.26813329954</v>
      </c>
      <c r="M193" s="486">
        <v>4695710.6358370222</v>
      </c>
      <c r="N193" s="486">
        <v>706799.81762451213</v>
      </c>
      <c r="O193" s="251">
        <f>SUM(LisäyksetVähennykset[[#This Row],[Kuntien yhdistymisavustus (-0,99 €/as)]:[TE25: Uudistuksen rahoituksen siirtymäajan porrastus (50 % kustannusperusteinen / 50 % vos-kriteerit)]])</f>
        <v>-24197703.024079788</v>
      </c>
      <c r="P193" s="112"/>
    </row>
    <row r="194" spans="1:16" s="45" customFormat="1">
      <c r="A194" s="237">
        <v>611</v>
      </c>
      <c r="B194" s="239" t="s">
        <v>201</v>
      </c>
      <c r="C194" s="326">
        <v>-4923.2699999999995</v>
      </c>
      <c r="D194" s="121">
        <v>-8901.67</v>
      </c>
      <c r="E194" s="121">
        <v>-4923.2699999999995</v>
      </c>
      <c r="F194" s="121">
        <v>-49.730000000000004</v>
      </c>
      <c r="G194" s="121">
        <v>-122186.61</v>
      </c>
      <c r="H194" s="121">
        <v>-117096.58</v>
      </c>
      <c r="I194" s="121">
        <v>515497.77452653029</v>
      </c>
      <c r="J194" s="121">
        <v>62881.421183696053</v>
      </c>
      <c r="K194" s="121">
        <v>-151114.98190331276</v>
      </c>
      <c r="L194" s="121">
        <v>-57106.459177759709</v>
      </c>
      <c r="M194" s="487">
        <v>79791.304038794333</v>
      </c>
      <c r="N194" s="487">
        <v>-117165.42979001475</v>
      </c>
      <c r="O194" s="251">
        <f>SUM(LisäyksetVähennykset[[#This Row],[Kuntien yhdistymisavustus (-0,99 €/as)]:[TE25: Uudistuksen rahoituksen siirtymäajan porrastus (50 % kustannusperusteinen / 50 % vos-kriteerit)]])</f>
        <v>74702.498877933482</v>
      </c>
      <c r="P194" s="112"/>
    </row>
    <row r="195" spans="1:16" s="45" customFormat="1">
      <c r="A195" s="239">
        <v>614</v>
      </c>
      <c r="B195" s="239" t="s">
        <v>202</v>
      </c>
      <c r="C195" s="326">
        <v>-2893.77</v>
      </c>
      <c r="D195" s="121">
        <v>-5232.17</v>
      </c>
      <c r="E195" s="121">
        <v>-2893.77</v>
      </c>
      <c r="F195" s="121">
        <v>-29.23</v>
      </c>
      <c r="G195" s="121">
        <v>-71818.11</v>
      </c>
      <c r="H195" s="121">
        <v>-54404.14</v>
      </c>
      <c r="I195" s="121">
        <v>-682854.07260318694</v>
      </c>
      <c r="J195" s="34">
        <v>-373681.7202001671</v>
      </c>
      <c r="K195" s="34">
        <v>-90439.798588711827</v>
      </c>
      <c r="L195" s="34">
        <v>-33565.690765451764</v>
      </c>
      <c r="M195" s="486">
        <v>171221.5391250276</v>
      </c>
      <c r="N195" s="486">
        <v>159874.75290906668</v>
      </c>
      <c r="O195" s="251">
        <f>SUM(LisäyksetVähennykset[[#This Row],[Kuntien yhdistymisavustus (-0,99 €/as)]:[TE25: Uudistuksen rahoituksen siirtymäajan porrastus (50 % kustannusperusteinen / 50 % vos-kriteerit)]])</f>
        <v>-986716.18012342346</v>
      </c>
      <c r="P195" s="112"/>
    </row>
    <row r="196" spans="1:16" s="45" customFormat="1">
      <c r="A196" s="239">
        <v>615</v>
      </c>
      <c r="B196" s="239" t="s">
        <v>203</v>
      </c>
      <c r="C196" s="326">
        <v>-7404.21</v>
      </c>
      <c r="D196" s="121">
        <v>-13387.41</v>
      </c>
      <c r="E196" s="121">
        <v>-7404.21</v>
      </c>
      <c r="F196" s="121">
        <v>-74.790000000000006</v>
      </c>
      <c r="G196" s="121">
        <v>-183759.03</v>
      </c>
      <c r="H196" s="121">
        <v>-299359.82</v>
      </c>
      <c r="I196" s="121">
        <v>2045003.2647729912</v>
      </c>
      <c r="J196" s="34">
        <v>215761.09240029534</v>
      </c>
      <c r="K196" s="34">
        <v>-229281.023231069</v>
      </c>
      <c r="L196" s="34">
        <v>-85883.613149098106</v>
      </c>
      <c r="M196" s="486">
        <v>361294.09643929312</v>
      </c>
      <c r="N196" s="486">
        <v>102600.29844206688</v>
      </c>
      <c r="O196" s="251">
        <f>SUM(LisäyksetVähennykset[[#This Row],[Kuntien yhdistymisavustus (-0,99 €/as)]:[TE25: Uudistuksen rahoituksen siirtymäajan porrastus (50 % kustannusperusteinen / 50 % vos-kriteerit)]])</f>
        <v>1898104.6456744794</v>
      </c>
      <c r="P196" s="112"/>
    </row>
    <row r="197" spans="1:16" s="45" customFormat="1">
      <c r="A197" s="239">
        <v>616</v>
      </c>
      <c r="B197" s="239" t="s">
        <v>204</v>
      </c>
      <c r="C197" s="326">
        <v>-1763.19</v>
      </c>
      <c r="D197" s="121">
        <v>-3187.9900000000002</v>
      </c>
      <c r="E197" s="121">
        <v>-1763.19</v>
      </c>
      <c r="F197" s="121">
        <v>-17.809999999999999</v>
      </c>
      <c r="G197" s="121">
        <v>-43759.17</v>
      </c>
      <c r="H197" s="121">
        <v>-48274.74</v>
      </c>
      <c r="I197" s="121">
        <v>-211965.65066090974</v>
      </c>
      <c r="J197" s="34">
        <v>-127475.11909840713</v>
      </c>
      <c r="K197" s="34">
        <v>-54493.069706502924</v>
      </c>
      <c r="L197" s="34">
        <v>-20451.760264546559</v>
      </c>
      <c r="M197" s="486">
        <v>36547.180845823896</v>
      </c>
      <c r="N197" s="486">
        <v>-5838.2175092307589</v>
      </c>
      <c r="O197" s="251">
        <f>SUM(LisäyksetVähennykset[[#This Row],[Kuntien yhdistymisavustus (-0,99 €/as)]:[TE25: Uudistuksen rahoituksen siirtymäajan porrastus (50 % kustannusperusteinen / 50 % vos-kriteerit)]])</f>
        <v>-482442.72639377328</v>
      </c>
      <c r="P197" s="112"/>
    </row>
    <row r="198" spans="1:16" s="45" customFormat="1">
      <c r="A198" s="239">
        <v>619</v>
      </c>
      <c r="B198" s="239" t="s">
        <v>205</v>
      </c>
      <c r="C198" s="326">
        <v>-2623.5</v>
      </c>
      <c r="D198" s="121">
        <v>-4743.5</v>
      </c>
      <c r="E198" s="121">
        <v>-2623.5</v>
      </c>
      <c r="F198" s="121">
        <v>-26.5</v>
      </c>
      <c r="G198" s="121">
        <v>-65110.5</v>
      </c>
      <c r="H198" s="121">
        <v>-130696.85</v>
      </c>
      <c r="I198" s="121">
        <v>773432.83632583905</v>
      </c>
      <c r="J198" s="34">
        <v>338829.32919746026</v>
      </c>
      <c r="K198" s="34">
        <v>-80669.043422742296</v>
      </c>
      <c r="L198" s="34">
        <v>-30430.749411032222</v>
      </c>
      <c r="M198" s="486">
        <v>176657.18624702407</v>
      </c>
      <c r="N198" s="486">
        <v>1507.9229155847715</v>
      </c>
      <c r="O198" s="251">
        <f>SUM(LisäyksetVähennykset[[#This Row],[Kuntien yhdistymisavustus (-0,99 €/as)]:[TE25: Uudistuksen rahoituksen siirtymäajan porrastus (50 % kustannusperusteinen / 50 % vos-kriteerit)]])</f>
        <v>973503.13185213378</v>
      </c>
      <c r="P198" s="112"/>
    </row>
    <row r="199" spans="1:16" s="45" customFormat="1">
      <c r="A199" s="239">
        <v>620</v>
      </c>
      <c r="B199" s="243" t="s">
        <v>206</v>
      </c>
      <c r="C199" s="326">
        <v>-2335.41</v>
      </c>
      <c r="D199" s="121">
        <v>-4222.6099999999997</v>
      </c>
      <c r="E199" s="121">
        <v>-2335.41</v>
      </c>
      <c r="F199" s="121">
        <v>-23.59</v>
      </c>
      <c r="G199" s="121">
        <v>-57960.63</v>
      </c>
      <c r="H199" s="121">
        <v>-52107.42</v>
      </c>
      <c r="I199" s="121">
        <v>279794.15762421762</v>
      </c>
      <c r="J199" s="34">
        <v>293196.7728870876</v>
      </c>
      <c r="K199" s="34">
        <v>-71772.831157430526</v>
      </c>
      <c r="L199" s="34">
        <v>-27089.108626650948</v>
      </c>
      <c r="M199" s="486">
        <v>159119.45601182082</v>
      </c>
      <c r="N199" s="486">
        <v>86137.473408262944</v>
      </c>
      <c r="O199" s="251">
        <f>SUM(LisäyksetVähennykset[[#This Row],[Kuntien yhdistymisavustus (-0,99 €/as)]:[TE25: Uudistuksen rahoituksen siirtymäajan porrastus (50 % kustannusperusteinen / 50 % vos-kriteerit)]])</f>
        <v>600400.8501473075</v>
      </c>
      <c r="P199" s="112"/>
    </row>
    <row r="200" spans="1:16" s="45" customFormat="1">
      <c r="A200" s="239">
        <v>623</v>
      </c>
      <c r="B200" s="239" t="s">
        <v>207</v>
      </c>
      <c r="C200" s="326">
        <v>-2086.92</v>
      </c>
      <c r="D200" s="121">
        <v>-3773.32</v>
      </c>
      <c r="E200" s="121">
        <v>-2086.92</v>
      </c>
      <c r="F200" s="121">
        <v>-21.080000000000002</v>
      </c>
      <c r="G200" s="121">
        <v>-51793.56</v>
      </c>
      <c r="H200" s="121">
        <v>-50431.17</v>
      </c>
      <c r="I200" s="121">
        <v>507283.70732909255</v>
      </c>
      <c r="J200" s="34">
        <v>65653.266667084317</v>
      </c>
      <c r="K200" s="34">
        <v>-63540.065230548789</v>
      </c>
      <c r="L200" s="34">
        <v>-24206.799908851292</v>
      </c>
      <c r="M200" s="486">
        <v>62975.021016002516</v>
      </c>
      <c r="N200" s="486">
        <v>-11039.432141244979</v>
      </c>
      <c r="O200" s="251">
        <f>SUM(LisäyksetVähennykset[[#This Row],[Kuntien yhdistymisavustus (-0,99 €/as)]:[TE25: Uudistuksen rahoituksen siirtymäajan porrastus (50 % kustannusperusteinen / 50 % vos-kriteerit)]])</f>
        <v>426932.72773153434</v>
      </c>
      <c r="P200" s="112"/>
    </row>
    <row r="201" spans="1:16" s="45" customFormat="1">
      <c r="A201" s="239">
        <v>624</v>
      </c>
      <c r="B201" s="239" t="s">
        <v>208</v>
      </c>
      <c r="C201" s="326">
        <v>-5014.3500000000004</v>
      </c>
      <c r="D201" s="121">
        <v>-9066.35</v>
      </c>
      <c r="E201" s="121">
        <v>-5014.3500000000004</v>
      </c>
      <c r="F201" s="121">
        <v>-50.65</v>
      </c>
      <c r="G201" s="121">
        <v>-124447.05</v>
      </c>
      <c r="H201" s="121">
        <v>-114908.12</v>
      </c>
      <c r="I201" s="121">
        <v>725224.5341950088</v>
      </c>
      <c r="J201" s="34">
        <v>717874.57307138888</v>
      </c>
      <c r="K201" s="34">
        <v>-154311.58698847564</v>
      </c>
      <c r="L201" s="34">
        <v>-58162.922930897432</v>
      </c>
      <c r="M201" s="486">
        <v>134712.92813885765</v>
      </c>
      <c r="N201" s="486">
        <v>-18662.861327876803</v>
      </c>
      <c r="O201" s="251">
        <f>SUM(LisäyksetVähennykset[[#This Row],[Kuntien yhdistymisavustus (-0,99 €/as)]:[TE25: Uudistuksen rahoituksen siirtymäajan porrastus (50 % kustannusperusteinen / 50 % vos-kriteerit)]])</f>
        <v>1088173.7941580054</v>
      </c>
      <c r="P201" s="112"/>
    </row>
    <row r="202" spans="1:16" s="45" customFormat="1">
      <c r="A202" s="239">
        <v>625</v>
      </c>
      <c r="B202" s="239" t="s">
        <v>209</v>
      </c>
      <c r="C202" s="326">
        <v>-2950.2</v>
      </c>
      <c r="D202" s="121">
        <v>-5334.2</v>
      </c>
      <c r="E202" s="121">
        <v>-2950.2</v>
      </c>
      <c r="F202" s="121">
        <v>-29.8</v>
      </c>
      <c r="G202" s="121">
        <v>-73218.600000000006</v>
      </c>
      <c r="H202" s="121">
        <v>-62263.11</v>
      </c>
      <c r="I202" s="121">
        <v>865861.16857590759</v>
      </c>
      <c r="J202" s="34">
        <v>474343.24771258229</v>
      </c>
      <c r="K202" s="34">
        <v>-90198.545374737281</v>
      </c>
      <c r="L202" s="34">
        <v>-34220.238960330571</v>
      </c>
      <c r="M202" s="486">
        <v>70256.306288046122</v>
      </c>
      <c r="N202" s="486">
        <v>-7625.2272772977303</v>
      </c>
      <c r="O202" s="251">
        <f>SUM(LisäyksetVähennykset[[#This Row],[Kuntien yhdistymisavustus (-0,99 €/as)]:[TE25: Uudistuksen rahoituksen siirtymäajan porrastus (50 % kustannusperusteinen / 50 % vos-kriteerit)]])</f>
        <v>1131670.6009641702</v>
      </c>
      <c r="P202" s="112"/>
    </row>
    <row r="203" spans="1:16" s="45" customFormat="1">
      <c r="A203" s="239">
        <v>626</v>
      </c>
      <c r="B203" s="239" t="s">
        <v>210</v>
      </c>
      <c r="C203" s="326">
        <v>-4708.4399999999996</v>
      </c>
      <c r="D203" s="121">
        <v>-8513.24</v>
      </c>
      <c r="E203" s="121">
        <v>-4708.4399999999996</v>
      </c>
      <c r="F203" s="121">
        <v>-47.56</v>
      </c>
      <c r="G203" s="121">
        <v>-116854.92</v>
      </c>
      <c r="H203" s="121">
        <v>-183789.23</v>
      </c>
      <c r="I203" s="121">
        <v>-811116.38456218399</v>
      </c>
      <c r="J203" s="34">
        <v>-574275.74204421963</v>
      </c>
      <c r="K203" s="34">
        <v>-145807.41119587253</v>
      </c>
      <c r="L203" s="34">
        <v>-54614.582716554432</v>
      </c>
      <c r="M203" s="486">
        <v>280330.62720259011</v>
      </c>
      <c r="N203" s="486">
        <v>46091.766443098604</v>
      </c>
      <c r="O203" s="251">
        <f>SUM(LisäyksetVähennykset[[#This Row],[Kuntien yhdistymisavustus (-0,99 €/as)]:[TE25: Uudistuksen rahoituksen siirtymäajan porrastus (50 % kustannusperusteinen / 50 % vos-kriteerit)]])</f>
        <v>-1578013.5568731416</v>
      </c>
      <c r="P203" s="112"/>
    </row>
    <row r="204" spans="1:16" s="45" customFormat="1">
      <c r="A204" s="239">
        <v>630</v>
      </c>
      <c r="B204" s="239" t="s">
        <v>211</v>
      </c>
      <c r="C204" s="326">
        <v>-1629.54</v>
      </c>
      <c r="D204" s="121">
        <v>-2946.34</v>
      </c>
      <c r="E204" s="121">
        <v>-1629.54</v>
      </c>
      <c r="F204" s="121">
        <v>-16.46</v>
      </c>
      <c r="G204" s="121">
        <v>-40442.22</v>
      </c>
      <c r="H204" s="121">
        <v>-18019.95</v>
      </c>
      <c r="I204" s="121">
        <v>-213102.76600538479</v>
      </c>
      <c r="J204" s="34">
        <v>-336014.75389140227</v>
      </c>
      <c r="K204" s="34">
        <v>-49306.125606049958</v>
      </c>
      <c r="L204" s="34">
        <v>-18901.514539833599</v>
      </c>
      <c r="M204" s="486">
        <v>32217.877101606398</v>
      </c>
      <c r="N204" s="486">
        <v>-34799.342878744486</v>
      </c>
      <c r="O204" s="251">
        <f>SUM(LisäyksetVähennykset[[#This Row],[Kuntien yhdistymisavustus (-0,99 €/as)]:[TE25: Uudistuksen rahoituksen siirtymäajan porrastus (50 % kustannusperusteinen / 50 % vos-kriteerit)]])</f>
        <v>-684590.67581980862</v>
      </c>
      <c r="P204" s="112"/>
    </row>
    <row r="205" spans="1:16" s="45" customFormat="1">
      <c r="A205" s="239">
        <v>631</v>
      </c>
      <c r="B205" s="239" t="s">
        <v>212</v>
      </c>
      <c r="C205" s="326">
        <v>-1910.7</v>
      </c>
      <c r="D205" s="121">
        <v>-3454.7000000000003</v>
      </c>
      <c r="E205" s="121">
        <v>-1910.7</v>
      </c>
      <c r="F205" s="121">
        <v>-19.3</v>
      </c>
      <c r="G205" s="121">
        <v>-47420.1</v>
      </c>
      <c r="H205" s="121">
        <v>-26038.1</v>
      </c>
      <c r="I205" s="121">
        <v>141945.71223119533</v>
      </c>
      <c r="J205" s="34">
        <v>200846.32443572537</v>
      </c>
      <c r="K205" s="34">
        <v>-59197.507379006769</v>
      </c>
      <c r="L205" s="34">
        <v>-22162.77221256309</v>
      </c>
      <c r="M205" s="486">
        <v>80979.601978083418</v>
      </c>
      <c r="N205" s="486">
        <v>-26408.260683191147</v>
      </c>
      <c r="O205" s="251">
        <f>SUM(LisäyksetVähennykset[[#This Row],[Kuntien yhdistymisavustus (-0,99 €/as)]:[TE25: Uudistuksen rahoituksen siirtymäajan porrastus (50 % kustannusperusteinen / 50 % vos-kriteerit)]])</f>
        <v>235249.49837024309</v>
      </c>
      <c r="P205" s="112"/>
    </row>
    <row r="206" spans="1:16" s="45" customFormat="1">
      <c r="A206" s="239">
        <v>635</v>
      </c>
      <c r="B206" s="239" t="s">
        <v>213</v>
      </c>
      <c r="C206" s="326">
        <v>-6273.63</v>
      </c>
      <c r="D206" s="121">
        <v>-11343.23</v>
      </c>
      <c r="E206" s="121">
        <v>-6273.63</v>
      </c>
      <c r="F206" s="121">
        <v>-63.370000000000005</v>
      </c>
      <c r="G206" s="121">
        <v>-155700.09</v>
      </c>
      <c r="H206" s="121">
        <v>-175404.71</v>
      </c>
      <c r="I206" s="121">
        <v>-115339.57903473417</v>
      </c>
      <c r="J206" s="34">
        <v>-12620.687045420642</v>
      </c>
      <c r="K206" s="34">
        <v>-191404.26863706368</v>
      </c>
      <c r="L206" s="34">
        <v>-72769.682648192902</v>
      </c>
      <c r="M206" s="486">
        <v>308307.01977222238</v>
      </c>
      <c r="N206" s="486">
        <v>-34004.457011133578</v>
      </c>
      <c r="O206" s="251">
        <f>SUM(LisäyksetVähennykset[[#This Row],[Kuntien yhdistymisavustus (-0,99 €/as)]:[TE25: Uudistuksen rahoituksen siirtymäajan porrastus (50 % kustannusperusteinen / 50 % vos-kriteerit)]])</f>
        <v>-472890.31460432254</v>
      </c>
      <c r="P206" s="112"/>
    </row>
    <row r="207" spans="1:16" s="45" customFormat="1">
      <c r="A207" s="239">
        <v>636</v>
      </c>
      <c r="B207" s="239" t="s">
        <v>214</v>
      </c>
      <c r="C207" s="326">
        <v>-8048.7</v>
      </c>
      <c r="D207" s="121">
        <v>-14552.7</v>
      </c>
      <c r="E207" s="121">
        <v>-8048.7</v>
      </c>
      <c r="F207" s="121">
        <v>-81.3</v>
      </c>
      <c r="G207" s="121">
        <v>-199754.1</v>
      </c>
      <c r="H207" s="121">
        <v>-287326.84000000003</v>
      </c>
      <c r="I207" s="121">
        <v>735244.98327812506</v>
      </c>
      <c r="J207" s="34">
        <v>54095.876222980223</v>
      </c>
      <c r="K207" s="34">
        <v>-245897.3383435666</v>
      </c>
      <c r="L207" s="34">
        <v>-93359.24253271395</v>
      </c>
      <c r="M207" s="486">
        <v>157085.41384277394</v>
      </c>
      <c r="N207" s="486">
        <v>-25127.605873618042</v>
      </c>
      <c r="O207" s="251">
        <f>SUM(LisäyksetVähennykset[[#This Row],[Kuntien yhdistymisavustus (-0,99 €/as)]:[TE25: Uudistuksen rahoituksen siirtymäajan porrastus (50 % kustannusperusteinen / 50 % vos-kriteerit)]])</f>
        <v>64229.746593980584</v>
      </c>
      <c r="P207" s="112"/>
    </row>
    <row r="208" spans="1:16" s="45" customFormat="1">
      <c r="A208" s="239">
        <v>638</v>
      </c>
      <c r="B208" s="239" t="s">
        <v>215</v>
      </c>
      <c r="C208" s="326">
        <v>-50776.11</v>
      </c>
      <c r="D208" s="121">
        <v>-91807.31</v>
      </c>
      <c r="E208" s="121">
        <v>-50776.11</v>
      </c>
      <c r="F208" s="121">
        <v>-512.89</v>
      </c>
      <c r="G208" s="121">
        <v>-1260170.73</v>
      </c>
      <c r="H208" s="121">
        <v>-2463875.7000000002</v>
      </c>
      <c r="I208" s="121">
        <v>14516310.715395993</v>
      </c>
      <c r="J208" s="34">
        <v>4504278.6725269649</v>
      </c>
      <c r="K208" s="34">
        <v>-1544985.582293059</v>
      </c>
      <c r="L208" s="34">
        <v>-588967.0590726157</v>
      </c>
      <c r="M208" s="486">
        <v>1255417.5638302919</v>
      </c>
      <c r="N208" s="486">
        <v>-469011.22776422137</v>
      </c>
      <c r="O208" s="251">
        <f>SUM(LisäyksetVähennykset[[#This Row],[Kuntien yhdistymisavustus (-0,99 €/as)]:[TE25: Uudistuksen rahoituksen siirtymäajan porrastus (50 % kustannusperusteinen / 50 % vos-kriteerit)]])</f>
        <v>13755124.232623354</v>
      </c>
      <c r="P208" s="112"/>
    </row>
    <row r="209" spans="1:16" s="45" customFormat="1">
      <c r="A209" s="239">
        <v>678</v>
      </c>
      <c r="B209" s="239" t="s">
        <v>216</v>
      </c>
      <c r="C209" s="326">
        <v>-23559.03</v>
      </c>
      <c r="D209" s="121">
        <v>-42596.63</v>
      </c>
      <c r="E209" s="121">
        <v>-23559.03</v>
      </c>
      <c r="F209" s="121">
        <v>-237.97</v>
      </c>
      <c r="G209" s="121">
        <v>-584692.29</v>
      </c>
      <c r="H209" s="121">
        <v>-1047750.65</v>
      </c>
      <c r="I209" s="121">
        <v>1510164.048595337</v>
      </c>
      <c r="J209" s="34">
        <v>119065.38226882988</v>
      </c>
      <c r="K209" s="34">
        <v>-725961.07750118698</v>
      </c>
      <c r="L209" s="34">
        <v>-273268.12971106934</v>
      </c>
      <c r="M209" s="486">
        <v>1020494.7637855788</v>
      </c>
      <c r="N209" s="486">
        <v>-68885.346753236139</v>
      </c>
      <c r="O209" s="251">
        <f>SUM(LisäyksetVähennykset[[#This Row],[Kuntien yhdistymisavustus (-0,99 €/as)]:[TE25: Uudistuksen rahoituksen siirtymäajan porrastus (50 % kustannusperusteinen / 50 % vos-kriteerit)]])</f>
        <v>-140785.95931574702</v>
      </c>
      <c r="P209" s="112"/>
    </row>
    <row r="210" spans="1:16" s="45" customFormat="1">
      <c r="A210" s="239">
        <v>680</v>
      </c>
      <c r="B210" s="239" t="s">
        <v>217</v>
      </c>
      <c r="C210" s="326">
        <v>-25077.69</v>
      </c>
      <c r="D210" s="121">
        <v>-45342.49</v>
      </c>
      <c r="E210" s="121">
        <v>-25077.69</v>
      </c>
      <c r="F210" s="121">
        <v>-253.31</v>
      </c>
      <c r="G210" s="121">
        <v>-622382.67000000004</v>
      </c>
      <c r="H210" s="121">
        <v>-1319894.26</v>
      </c>
      <c r="I210" s="121">
        <v>783946.65123784647</v>
      </c>
      <c r="J210" s="34">
        <v>278639.18465150741</v>
      </c>
      <c r="K210" s="34">
        <v>-752167.20786917314</v>
      </c>
      <c r="L210" s="34">
        <v>-290883.5144644744</v>
      </c>
      <c r="M210" s="486">
        <v>1383232.4838348543</v>
      </c>
      <c r="N210" s="486">
        <v>-249998.63081086031</v>
      </c>
      <c r="O210" s="251">
        <f>SUM(LisäyksetVähennykset[[#This Row],[Kuntien yhdistymisavustus (-0,99 €/as)]:[TE25: Uudistuksen rahoituksen siirtymäajan porrastus (50 % kustannusperusteinen / 50 % vos-kriteerit)]])</f>
        <v>-885259.14342029975</v>
      </c>
      <c r="P210" s="112"/>
    </row>
    <row r="211" spans="1:16" s="45" customFormat="1">
      <c r="A211" s="239">
        <v>681</v>
      </c>
      <c r="B211" s="239" t="s">
        <v>218</v>
      </c>
      <c r="C211" s="326">
        <v>-3264.0299999999997</v>
      </c>
      <c r="D211" s="121">
        <v>-5901.63</v>
      </c>
      <c r="E211" s="121">
        <v>-3264.0299999999997</v>
      </c>
      <c r="F211" s="121">
        <v>-32.97</v>
      </c>
      <c r="G211" s="121">
        <v>-81007.290000000008</v>
      </c>
      <c r="H211" s="121">
        <v>-126479.75</v>
      </c>
      <c r="I211" s="121">
        <v>335405.80743058637</v>
      </c>
      <c r="J211" s="34">
        <v>228661.31545676949</v>
      </c>
      <c r="K211" s="34">
        <v>-99758.203978479069</v>
      </c>
      <c r="L211" s="34">
        <v>-37860.445587989896</v>
      </c>
      <c r="M211" s="486">
        <v>108726.106271461</v>
      </c>
      <c r="N211" s="486">
        <v>53584.966403525439</v>
      </c>
      <c r="O211" s="251">
        <f>SUM(LisäyksetVähennykset[[#This Row],[Kuntien yhdistymisavustus (-0,99 €/as)]:[TE25: Uudistuksen rahoituksen siirtymäajan porrastus (50 % kustannusperusteinen / 50 % vos-kriteerit)]])</f>
        <v>368809.84599587333</v>
      </c>
      <c r="P211" s="112"/>
    </row>
    <row r="212" spans="1:16" s="45" customFormat="1">
      <c r="A212" s="239">
        <v>683</v>
      </c>
      <c r="B212" s="239" t="s">
        <v>219</v>
      </c>
      <c r="C212" s="326">
        <v>-3563.0099999999998</v>
      </c>
      <c r="D212" s="121">
        <v>-6442.21</v>
      </c>
      <c r="E212" s="121">
        <v>-3563.0099999999998</v>
      </c>
      <c r="F212" s="121">
        <v>-35.99</v>
      </c>
      <c r="G212" s="121">
        <v>-88427.430000000008</v>
      </c>
      <c r="H212" s="121">
        <v>-102934.37</v>
      </c>
      <c r="I212" s="121">
        <v>-129689.09923015794</v>
      </c>
      <c r="J212" s="34">
        <v>79462.828613507256</v>
      </c>
      <c r="K212" s="34">
        <v>-109106.76601999313</v>
      </c>
      <c r="L212" s="34">
        <v>-41328.40269068112</v>
      </c>
      <c r="M212" s="486">
        <v>173173.94264537166</v>
      </c>
      <c r="N212" s="486">
        <v>88511.399465307361</v>
      </c>
      <c r="O212" s="251">
        <f>SUM(LisäyksetVähennykset[[#This Row],[Kuntien yhdistymisavustus (-0,99 €/as)]:[TE25: Uudistuksen rahoituksen siirtymäajan porrastus (50 % kustannusperusteinen / 50 % vos-kriteerit)]])</f>
        <v>-143942.11721664586</v>
      </c>
      <c r="P212" s="112"/>
    </row>
    <row r="213" spans="1:16" s="45" customFormat="1">
      <c r="A213" s="239">
        <v>684</v>
      </c>
      <c r="B213" s="239" t="s">
        <v>220</v>
      </c>
      <c r="C213" s="326">
        <v>-38443.68</v>
      </c>
      <c r="D213" s="121">
        <v>-69509.279999999999</v>
      </c>
      <c r="E213" s="121">
        <v>-38443.68</v>
      </c>
      <c r="F213" s="121">
        <v>-388.32</v>
      </c>
      <c r="G213" s="121">
        <v>-954102.24</v>
      </c>
      <c r="H213" s="121">
        <v>-1385227.63</v>
      </c>
      <c r="I213" s="121">
        <v>-329631.26073683082</v>
      </c>
      <c r="J213" s="34">
        <v>131826.67542307786</v>
      </c>
      <c r="K213" s="34">
        <v>-1166067.2530942715</v>
      </c>
      <c r="L213" s="34">
        <v>-445919.57023743517</v>
      </c>
      <c r="M213" s="486">
        <v>1868985.3069247869</v>
      </c>
      <c r="N213" s="486">
        <v>36495.875426332001</v>
      </c>
      <c r="O213" s="251">
        <f>SUM(LisäyksetVähennykset[[#This Row],[Kuntien yhdistymisavustus (-0,99 €/as)]:[TE25: Uudistuksen rahoituksen siirtymäajan porrastus (50 % kustannusperusteinen / 50 % vos-kriteerit)]])</f>
        <v>-2390425.0562943416</v>
      </c>
      <c r="P213" s="112"/>
    </row>
    <row r="214" spans="1:16" s="45" customFormat="1">
      <c r="A214" s="239">
        <v>686</v>
      </c>
      <c r="B214" s="239" t="s">
        <v>221</v>
      </c>
      <c r="C214" s="326">
        <v>-2903.67</v>
      </c>
      <c r="D214" s="121">
        <v>-5250.07</v>
      </c>
      <c r="E214" s="121">
        <v>-2903.67</v>
      </c>
      <c r="F214" s="121">
        <v>-29.330000000000002</v>
      </c>
      <c r="G214" s="121">
        <v>-72063.81</v>
      </c>
      <c r="H214" s="121">
        <v>-126718.22</v>
      </c>
      <c r="I214" s="121">
        <v>-181328.55915768055</v>
      </c>
      <c r="J214" s="34">
        <v>-187033.03655149028</v>
      </c>
      <c r="K214" s="34">
        <v>-89384.315777573138</v>
      </c>
      <c r="L214" s="34">
        <v>-33680.523782097174</v>
      </c>
      <c r="M214" s="486">
        <v>78236.526261392122</v>
      </c>
      <c r="N214" s="486">
        <v>29667.809650742711</v>
      </c>
      <c r="O214" s="251">
        <f>SUM(LisäyksetVähennykset[[#This Row],[Kuntien yhdistymisavustus (-0,99 €/as)]:[TE25: Uudistuksen rahoituksen siirtymäajan porrastus (50 % kustannusperusteinen / 50 % vos-kriteerit)]])</f>
        <v>-593390.86935670627</v>
      </c>
      <c r="P214" s="112"/>
    </row>
    <row r="215" spans="1:16" s="45" customFormat="1">
      <c r="A215" s="239">
        <v>687</v>
      </c>
      <c r="B215" s="239" t="s">
        <v>222</v>
      </c>
      <c r="C215" s="326">
        <v>-1409.76</v>
      </c>
      <c r="D215" s="121">
        <v>-2548.96</v>
      </c>
      <c r="E215" s="121">
        <v>-1409.76</v>
      </c>
      <c r="F215" s="121">
        <v>-14.24</v>
      </c>
      <c r="G215" s="121">
        <v>-34987.68</v>
      </c>
      <c r="H215" s="121">
        <v>-63601.48</v>
      </c>
      <c r="I215" s="121">
        <v>80950.384193017919</v>
      </c>
      <c r="J215" s="34">
        <v>-69198.035105745425</v>
      </c>
      <c r="K215" s="34">
        <v>-44541.374630052473</v>
      </c>
      <c r="L215" s="34">
        <v>-16352.221570305615</v>
      </c>
      <c r="M215" s="486">
        <v>94628.493958858409</v>
      </c>
      <c r="N215" s="486">
        <v>6969.4454944725003</v>
      </c>
      <c r="O215" s="251">
        <f>SUM(LisäyksetVähennykset[[#This Row],[Kuntien yhdistymisavustus (-0,99 €/as)]:[TE25: Uudistuksen rahoituksen siirtymäajan porrastus (50 % kustannusperusteinen / 50 % vos-kriteerit)]])</f>
        <v>-51515.18765975468</v>
      </c>
      <c r="P215" s="112"/>
    </row>
    <row r="216" spans="1:16" s="45" customFormat="1">
      <c r="A216" s="239">
        <v>689</v>
      </c>
      <c r="B216" s="239" t="s">
        <v>223</v>
      </c>
      <c r="C216" s="326">
        <v>-3001.68</v>
      </c>
      <c r="D216" s="121">
        <v>-5427.28</v>
      </c>
      <c r="E216" s="121">
        <v>-3001.68</v>
      </c>
      <c r="F216" s="121">
        <v>-30.32</v>
      </c>
      <c r="G216" s="121">
        <v>-74496.240000000005</v>
      </c>
      <c r="H216" s="121">
        <v>-118742.24</v>
      </c>
      <c r="I216" s="121">
        <v>1419856.4234577618</v>
      </c>
      <c r="J216" s="34">
        <v>870081.55117985373</v>
      </c>
      <c r="K216" s="34">
        <v>-93274.523852912869</v>
      </c>
      <c r="L216" s="34">
        <v>-34817.37064688668</v>
      </c>
      <c r="M216" s="486">
        <v>185085.57098897052</v>
      </c>
      <c r="N216" s="486">
        <v>52133.226871861058</v>
      </c>
      <c r="O216" s="251">
        <f>SUM(LisäyksetVähennykset[[#This Row],[Kuntien yhdistymisavustus (-0,99 €/as)]:[TE25: Uudistuksen rahoituksen siirtymäajan porrastus (50 % kustannusperusteinen / 50 % vos-kriteerit)]])</f>
        <v>2194365.4379986473</v>
      </c>
      <c r="P216" s="112"/>
    </row>
    <row r="217" spans="1:16" s="45" customFormat="1">
      <c r="A217" s="239">
        <v>691</v>
      </c>
      <c r="B217" s="239" t="s">
        <v>224</v>
      </c>
      <c r="C217" s="326">
        <v>-2572.02</v>
      </c>
      <c r="D217" s="121">
        <v>-4650.42</v>
      </c>
      <c r="E217" s="121">
        <v>-2572.02</v>
      </c>
      <c r="F217" s="121">
        <v>-25.98</v>
      </c>
      <c r="G217" s="121">
        <v>-63832.86</v>
      </c>
      <c r="H217" s="121">
        <v>-62568.36</v>
      </c>
      <c r="I217" s="121">
        <v>539954.93317346612</v>
      </c>
      <c r="J217" s="34">
        <v>-5241.5520799950864</v>
      </c>
      <c r="K217" s="34">
        <v>-79492.934004616327</v>
      </c>
      <c r="L217" s="34">
        <v>-29833.617724476117</v>
      </c>
      <c r="M217" s="486">
        <v>92489.491500817981</v>
      </c>
      <c r="N217" s="486">
        <v>-30591.432356205056</v>
      </c>
      <c r="O217" s="251">
        <f>SUM(LisäyksetVähennykset[[#This Row],[Kuntien yhdistymisavustus (-0,99 €/as)]:[TE25: Uudistuksen rahoituksen siirtymäajan porrastus (50 % kustannusperusteinen / 50 % vos-kriteerit)]])</f>
        <v>351063.22850899148</v>
      </c>
      <c r="P217" s="112"/>
    </row>
    <row r="218" spans="1:16" s="45" customFormat="1">
      <c r="A218" s="239">
        <v>694</v>
      </c>
      <c r="B218" s="239" t="s">
        <v>225</v>
      </c>
      <c r="C218" s="326">
        <v>-28198.17</v>
      </c>
      <c r="D218" s="121">
        <v>-50984.57</v>
      </c>
      <c r="E218" s="121">
        <v>-28198.17</v>
      </c>
      <c r="F218" s="121">
        <v>-284.83</v>
      </c>
      <c r="G218" s="121">
        <v>-699827.31</v>
      </c>
      <c r="H218" s="121">
        <v>-2083207.41</v>
      </c>
      <c r="I218" s="121">
        <v>-1477315.1343894394</v>
      </c>
      <c r="J218" s="34">
        <v>-56370.546250296167</v>
      </c>
      <c r="K218" s="34">
        <v>-854910.9203705875</v>
      </c>
      <c r="L218" s="34">
        <v>-327078.88131110597</v>
      </c>
      <c r="M218" s="486">
        <v>1812118.1243834731</v>
      </c>
      <c r="N218" s="486">
        <v>-192862.09432262182</v>
      </c>
      <c r="O218" s="251">
        <f>SUM(LisäyksetVähennykset[[#This Row],[Kuntien yhdistymisavustus (-0,99 €/as)]:[TE25: Uudistuksen rahoituksen siirtymäajan porrastus (50 % kustannusperusteinen / 50 % vos-kriteerit)]])</f>
        <v>-3987119.9122605771</v>
      </c>
      <c r="P218" s="112"/>
    </row>
    <row r="219" spans="1:16" s="45" customFormat="1">
      <c r="A219" s="239">
        <v>697</v>
      </c>
      <c r="B219" s="239" t="s">
        <v>226</v>
      </c>
      <c r="C219" s="326">
        <v>-1152.3599999999999</v>
      </c>
      <c r="D219" s="121">
        <v>-2083.56</v>
      </c>
      <c r="E219" s="121">
        <v>-1152.3599999999999</v>
      </c>
      <c r="F219" s="121">
        <v>-11.64</v>
      </c>
      <c r="G219" s="121">
        <v>-28599.48</v>
      </c>
      <c r="H219" s="121">
        <v>-24025.88</v>
      </c>
      <c r="I219" s="121">
        <v>-129770.52122820845</v>
      </c>
      <c r="J219" s="34">
        <v>-47546.049941277539</v>
      </c>
      <c r="K219" s="34">
        <v>-35403.909150766151</v>
      </c>
      <c r="L219" s="34">
        <v>-13366.563137525096</v>
      </c>
      <c r="M219" s="486">
        <v>31118.452918584284</v>
      </c>
      <c r="N219" s="486">
        <v>99845.026915366645</v>
      </c>
      <c r="O219" s="251">
        <f>SUM(LisäyksetVähennykset[[#This Row],[Kuntien yhdistymisavustus (-0,99 €/as)]:[TE25: Uudistuksen rahoituksen siirtymäajan porrastus (50 % kustannusperusteinen / 50 % vos-kriteerit)]])</f>
        <v>-152148.84362382634</v>
      </c>
      <c r="P219" s="112"/>
    </row>
    <row r="220" spans="1:16" s="45" customFormat="1">
      <c r="A220" s="239">
        <v>698</v>
      </c>
      <c r="B220" s="239" t="s">
        <v>227</v>
      </c>
      <c r="C220" s="326">
        <v>-64633.14</v>
      </c>
      <c r="D220" s="121">
        <v>-116861.94</v>
      </c>
      <c r="E220" s="121">
        <v>-64633.14</v>
      </c>
      <c r="F220" s="121">
        <v>-652.86</v>
      </c>
      <c r="G220" s="121">
        <v>-1604077.02</v>
      </c>
      <c r="H220" s="121">
        <v>-2997173.32</v>
      </c>
      <c r="I220" s="121">
        <v>-18179562.115658384</v>
      </c>
      <c r="J220" s="34">
        <v>-10266536.737710709</v>
      </c>
      <c r="K220" s="34">
        <v>-1946159.5204809995</v>
      </c>
      <c r="L220" s="34">
        <v>-749698.83247118851</v>
      </c>
      <c r="M220" s="486">
        <v>1850232.9212748902</v>
      </c>
      <c r="N220" s="486">
        <v>1011642.4041496329</v>
      </c>
      <c r="O220" s="251">
        <f>SUM(LisäyksetVähennykset[[#This Row],[Kuntien yhdistymisavustus (-0,99 €/as)]:[TE25: Uudistuksen rahoituksen siirtymäajan porrastus (50 % kustannusperusteinen / 50 % vos-kriteerit)]])</f>
        <v>-33128113.300896753</v>
      </c>
      <c r="P220" s="112"/>
    </row>
    <row r="221" spans="1:16" s="45" customFormat="1">
      <c r="A221" s="239">
        <v>700</v>
      </c>
      <c r="B221" s="239" t="s">
        <v>228</v>
      </c>
      <c r="C221" s="326">
        <v>-4710.42</v>
      </c>
      <c r="D221" s="121">
        <v>-8516.82</v>
      </c>
      <c r="E221" s="121">
        <v>-4710.42</v>
      </c>
      <c r="F221" s="121">
        <v>-47.58</v>
      </c>
      <c r="G221" s="121">
        <v>-116904.06</v>
      </c>
      <c r="H221" s="121">
        <v>-132561.19</v>
      </c>
      <c r="I221" s="121">
        <v>317575.34145665844</v>
      </c>
      <c r="J221" s="34">
        <v>381061.13831496396</v>
      </c>
      <c r="K221" s="34">
        <v>-146018.50775810026</v>
      </c>
      <c r="L221" s="34">
        <v>-54637.54931988351</v>
      </c>
      <c r="M221" s="486">
        <v>246252.03226485406</v>
      </c>
      <c r="N221" s="486">
        <v>28476.312665590172</v>
      </c>
      <c r="O221" s="251">
        <f>SUM(LisäyksetVähennykset[[#This Row],[Kuntien yhdistymisavustus (-0,99 €/as)]:[TE25: Uudistuksen rahoituksen siirtymäajan porrastus (50 % kustannusperusteinen / 50 % vos-kriteerit)]])</f>
        <v>505258.27762408287</v>
      </c>
      <c r="P221" s="112"/>
    </row>
    <row r="222" spans="1:16" s="45" customFormat="1">
      <c r="A222" s="239">
        <v>702</v>
      </c>
      <c r="B222" s="239" t="s">
        <v>229</v>
      </c>
      <c r="C222" s="326">
        <v>-4082.7599999999998</v>
      </c>
      <c r="D222" s="121">
        <v>-7381.96</v>
      </c>
      <c r="E222" s="121">
        <v>-4082.7599999999998</v>
      </c>
      <c r="F222" s="121">
        <v>-41.24</v>
      </c>
      <c r="G222" s="121">
        <v>-101326.68000000001</v>
      </c>
      <c r="H222" s="121">
        <v>-76722.66</v>
      </c>
      <c r="I222" s="121">
        <v>630976.61332800705</v>
      </c>
      <c r="J222" s="34">
        <v>92007.589509662765</v>
      </c>
      <c r="K222" s="34">
        <v>-124064.46528641561</v>
      </c>
      <c r="L222" s="34">
        <v>-47357.13606456486</v>
      </c>
      <c r="M222" s="486">
        <v>241073.09003501321</v>
      </c>
      <c r="N222" s="486">
        <v>36160.35480323332</v>
      </c>
      <c r="O222" s="251">
        <f>SUM(LisäyksetVähennykset[[#This Row],[Kuntien yhdistymisavustus (-0,99 €/as)]:[TE25: Uudistuksen rahoituksen siirtymäajan porrastus (50 % kustannusperusteinen / 50 % vos-kriteerit)]])</f>
        <v>635157.9863249358</v>
      </c>
      <c r="P222" s="112"/>
    </row>
    <row r="223" spans="1:16" s="45" customFormat="1">
      <c r="A223" s="239">
        <v>704</v>
      </c>
      <c r="B223" s="239" t="s">
        <v>230</v>
      </c>
      <c r="C223" s="326">
        <v>-6371.64</v>
      </c>
      <c r="D223" s="121">
        <v>-11520.44</v>
      </c>
      <c r="E223" s="121">
        <v>-6371.64</v>
      </c>
      <c r="F223" s="121">
        <v>-64.36</v>
      </c>
      <c r="G223" s="121">
        <v>-158132.51999999999</v>
      </c>
      <c r="H223" s="121">
        <v>-49903.86</v>
      </c>
      <c r="I223" s="121">
        <v>918336.83816093579</v>
      </c>
      <c r="J223" s="34">
        <v>68439.712760597889</v>
      </c>
      <c r="K223" s="34">
        <v>-193846.95742855605</v>
      </c>
      <c r="L223" s="34">
        <v>-73906.529512982408</v>
      </c>
      <c r="M223" s="486">
        <v>104677.6286543271</v>
      </c>
      <c r="N223" s="486">
        <v>-138824.53399921959</v>
      </c>
      <c r="O223" s="251">
        <f>SUM(LisäyksetVähennykset[[#This Row],[Kuntien yhdistymisavustus (-0,99 €/as)]:[TE25: Uudistuksen rahoituksen siirtymäajan porrastus (50 % kustannusperusteinen / 50 % vos-kriteerit)]])</f>
        <v>452511.69863510277</v>
      </c>
      <c r="P223" s="112"/>
    </row>
    <row r="224" spans="1:16" s="45" customFormat="1">
      <c r="A224" s="239">
        <v>707</v>
      </c>
      <c r="B224" s="239" t="s">
        <v>231</v>
      </c>
      <c r="C224" s="326">
        <v>-1882.98</v>
      </c>
      <c r="D224" s="121">
        <v>-3404.58</v>
      </c>
      <c r="E224" s="121">
        <v>-1882.98</v>
      </c>
      <c r="F224" s="121">
        <v>-19.02</v>
      </c>
      <c r="G224" s="121">
        <v>-46732.14</v>
      </c>
      <c r="H224" s="121">
        <v>-33137.769999999997</v>
      </c>
      <c r="I224" s="121">
        <v>-212965.84798402039</v>
      </c>
      <c r="J224" s="34">
        <v>-3897.3604236685769</v>
      </c>
      <c r="K224" s="34">
        <v>-59107.037423766313</v>
      </c>
      <c r="L224" s="34">
        <v>-21841.239765955957</v>
      </c>
      <c r="M224" s="486">
        <v>120962.63307402789</v>
      </c>
      <c r="N224" s="486">
        <v>134396.01357662558</v>
      </c>
      <c r="O224" s="251">
        <f>SUM(LisäyksetVähennykset[[#This Row],[Kuntien yhdistymisavustus (-0,99 €/as)]:[TE25: Uudistuksen rahoituksen siirtymäajan porrastus (50 % kustannusperusteinen / 50 % vos-kriteerit)]])</f>
        <v>-129512.30894675778</v>
      </c>
      <c r="P224" s="112"/>
    </row>
    <row r="225" spans="1:16" s="45" customFormat="1">
      <c r="A225" s="239">
        <v>710</v>
      </c>
      <c r="B225" s="239" t="s">
        <v>232</v>
      </c>
      <c r="C225" s="326">
        <v>-26936.91</v>
      </c>
      <c r="D225" s="121">
        <v>-48704.11</v>
      </c>
      <c r="E225" s="121">
        <v>-26936.91</v>
      </c>
      <c r="F225" s="121">
        <v>-272.09000000000003</v>
      </c>
      <c r="G225" s="121">
        <v>-668525.13</v>
      </c>
      <c r="H225" s="121">
        <v>-1133280.1100000001</v>
      </c>
      <c r="I225" s="121">
        <v>-2356141.104108375</v>
      </c>
      <c r="J225" s="34">
        <v>-54296.593739129676</v>
      </c>
      <c r="K225" s="34">
        <v>-823457.53259865462</v>
      </c>
      <c r="L225" s="34">
        <v>-312449.15499048139</v>
      </c>
      <c r="M225" s="486">
        <v>654281.92265551211</v>
      </c>
      <c r="N225" s="486">
        <v>-311249.58532327879</v>
      </c>
      <c r="O225" s="251">
        <f>SUM(LisäyksetVähennykset[[#This Row],[Kuntien yhdistymisavustus (-0,99 €/as)]:[TE25: Uudistuksen rahoituksen siirtymäajan porrastus (50 % kustannusperusteinen / 50 % vos-kriteerit)]])</f>
        <v>-5107967.308104408</v>
      </c>
      <c r="P225" s="112"/>
    </row>
    <row r="226" spans="1:16" s="45" customFormat="1">
      <c r="A226" s="239">
        <v>729</v>
      </c>
      <c r="B226" s="239" t="s">
        <v>233</v>
      </c>
      <c r="C226" s="326">
        <v>-8758.5300000000007</v>
      </c>
      <c r="D226" s="121">
        <v>-15836.130000000001</v>
      </c>
      <c r="E226" s="121">
        <v>-8758.5300000000007</v>
      </c>
      <c r="F226" s="121">
        <v>-88.47</v>
      </c>
      <c r="G226" s="121">
        <v>-217370.79</v>
      </c>
      <c r="H226" s="121">
        <v>-336086.05</v>
      </c>
      <c r="I226" s="121">
        <v>-507893.30416444194</v>
      </c>
      <c r="J226" s="34">
        <v>-17846.331531849733</v>
      </c>
      <c r="K226" s="34">
        <v>-270655.94942770543</v>
      </c>
      <c r="L226" s="34">
        <v>-101592.76982618945</v>
      </c>
      <c r="M226" s="486">
        <v>569654.39742835204</v>
      </c>
      <c r="N226" s="486">
        <v>331029.47621924197</v>
      </c>
      <c r="O226" s="251">
        <f>SUM(LisäyksetVähennykset[[#This Row],[Kuntien yhdistymisavustus (-0,99 €/as)]:[TE25: Uudistuksen rahoituksen siirtymäajan porrastus (50 % kustannusperusteinen / 50 % vos-kriteerit)]])</f>
        <v>-584202.98130259255</v>
      </c>
      <c r="P226" s="112"/>
    </row>
    <row r="227" spans="1:16" s="45" customFormat="1">
      <c r="A227" s="239">
        <v>732</v>
      </c>
      <c r="B227" s="239" t="s">
        <v>234</v>
      </c>
      <c r="C227" s="326">
        <v>-3310.56</v>
      </c>
      <c r="D227" s="121">
        <v>-5985.76</v>
      </c>
      <c r="E227" s="121">
        <v>-3310.56</v>
      </c>
      <c r="F227" s="121">
        <v>-33.44</v>
      </c>
      <c r="G227" s="121">
        <v>-82162.080000000002</v>
      </c>
      <c r="H227" s="121">
        <v>-56077.46</v>
      </c>
      <c r="I227" s="121">
        <v>-710929.51198107947</v>
      </c>
      <c r="J227" s="34">
        <v>386285.46400011959</v>
      </c>
      <c r="K227" s="34">
        <v>-100602.59022739001</v>
      </c>
      <c r="L227" s="34">
        <v>-38400.1607662233</v>
      </c>
      <c r="M227" s="486">
        <v>161858.85386017902</v>
      </c>
      <c r="N227" s="486">
        <v>79611.250055839686</v>
      </c>
      <c r="O227" s="251">
        <f>SUM(LisäyksetVähennykset[[#This Row],[Kuntien yhdistymisavustus (-0,99 €/as)]:[TE25: Uudistuksen rahoituksen siirtymäajan porrastus (50 % kustannusperusteinen / 50 % vos-kriteerit)]])</f>
        <v>-373056.55505855451</v>
      </c>
      <c r="P227" s="112"/>
    </row>
    <row r="228" spans="1:16" s="45" customFormat="1">
      <c r="A228" s="239">
        <v>734</v>
      </c>
      <c r="B228" s="239" t="s">
        <v>235</v>
      </c>
      <c r="C228" s="326">
        <v>-50589</v>
      </c>
      <c r="D228" s="121">
        <v>-91469</v>
      </c>
      <c r="E228" s="121">
        <v>-50589</v>
      </c>
      <c r="F228" s="121">
        <v>-511</v>
      </c>
      <c r="G228" s="121">
        <v>-1255527</v>
      </c>
      <c r="H228" s="121">
        <v>-2137611.34</v>
      </c>
      <c r="I228" s="121">
        <v>-1495390.8411700628</v>
      </c>
      <c r="J228" s="34">
        <v>-101277.68288709778</v>
      </c>
      <c r="K228" s="34">
        <v>-1535968.7434207601</v>
      </c>
      <c r="L228" s="34">
        <v>-586796.71505801752</v>
      </c>
      <c r="M228" s="486">
        <v>2492355.0404930897</v>
      </c>
      <c r="N228" s="486">
        <v>237037.58672902454</v>
      </c>
      <c r="O228" s="251">
        <f>SUM(LisäyksetVähennykset[[#This Row],[Kuntien yhdistymisavustus (-0,99 €/as)]:[TE25: Uudistuksen rahoituksen siirtymäajan porrastus (50 % kustannusperusteinen / 50 % vos-kriteerit)]])</f>
        <v>-4576337.6953138243</v>
      </c>
      <c r="P228" s="112"/>
    </row>
    <row r="229" spans="1:16" s="45" customFormat="1">
      <c r="A229" s="239">
        <v>738</v>
      </c>
      <c r="B229" s="239" t="s">
        <v>236</v>
      </c>
      <c r="C229" s="326">
        <v>-2944.2599999999998</v>
      </c>
      <c r="D229" s="121">
        <v>-5323.46</v>
      </c>
      <c r="E229" s="121">
        <v>-2944.2599999999998</v>
      </c>
      <c r="F229" s="121">
        <v>-29.740000000000002</v>
      </c>
      <c r="G229" s="121">
        <v>-73071.180000000008</v>
      </c>
      <c r="H229" s="121">
        <v>-63999.35</v>
      </c>
      <c r="I229" s="121">
        <v>96896.376130618446</v>
      </c>
      <c r="J229" s="34">
        <v>-5800.3063040006327</v>
      </c>
      <c r="K229" s="34">
        <v>-87966.953145472624</v>
      </c>
      <c r="L229" s="34">
        <v>-34151.33915034333</v>
      </c>
      <c r="M229" s="486">
        <v>122005.45896755312</v>
      </c>
      <c r="N229" s="486">
        <v>-51328.969131901831</v>
      </c>
      <c r="O229" s="251">
        <f>SUM(LisäyksetVähennykset[[#This Row],[Kuntien yhdistymisavustus (-0,99 €/as)]:[TE25: Uudistuksen rahoituksen siirtymäajan porrastus (50 % kustannusperusteinen / 50 % vos-kriteerit)]])</f>
        <v>-108657.98263354685</v>
      </c>
      <c r="P229" s="112"/>
    </row>
    <row r="230" spans="1:16" s="45" customFormat="1">
      <c r="A230" s="239">
        <v>739</v>
      </c>
      <c r="B230" s="239" t="s">
        <v>237</v>
      </c>
      <c r="C230" s="326">
        <v>-3183.84</v>
      </c>
      <c r="D230" s="121">
        <v>-5756.64</v>
      </c>
      <c r="E230" s="121">
        <v>-3183.84</v>
      </c>
      <c r="F230" s="121">
        <v>-32.160000000000004</v>
      </c>
      <c r="G230" s="121">
        <v>-79017.119999999995</v>
      </c>
      <c r="H230" s="121">
        <v>-125415.05</v>
      </c>
      <c r="I230" s="121">
        <v>1212736.0277287911</v>
      </c>
      <c r="J230" s="34">
        <v>934629.77615150472</v>
      </c>
      <c r="K230" s="34">
        <v>-98190.058087644458</v>
      </c>
      <c r="L230" s="34">
        <v>-36930.298153162119</v>
      </c>
      <c r="M230" s="486">
        <v>109501.78704697412</v>
      </c>
      <c r="N230" s="486">
        <v>38554.429380076355</v>
      </c>
      <c r="O230" s="251">
        <f>SUM(LisäyksetVähennykset[[#This Row],[Kuntien yhdistymisavustus (-0,99 €/as)]:[TE25: Uudistuksen rahoituksen siirtymäajan porrastus (50 % kustannusperusteinen / 50 % vos-kriteerit)]])</f>
        <v>1943713.0140665397</v>
      </c>
      <c r="P230" s="112"/>
    </row>
    <row r="231" spans="1:16" s="45" customFormat="1">
      <c r="A231" s="239">
        <v>740</v>
      </c>
      <c r="B231" s="239" t="s">
        <v>238</v>
      </c>
      <c r="C231" s="326">
        <v>-31524.57</v>
      </c>
      <c r="D231" s="121">
        <v>-56998.97</v>
      </c>
      <c r="E231" s="121">
        <v>-31524.57</v>
      </c>
      <c r="F231" s="121">
        <v>-318.43</v>
      </c>
      <c r="G231" s="121">
        <v>-782382.51</v>
      </c>
      <c r="H231" s="121">
        <v>-1651177.6</v>
      </c>
      <c r="I231" s="121">
        <v>-5488978.9722857587</v>
      </c>
      <c r="J231" s="34">
        <v>-1334968.9418633643</v>
      </c>
      <c r="K231" s="34">
        <v>-967576.17129670514</v>
      </c>
      <c r="L231" s="34">
        <v>-365662.77490396192</v>
      </c>
      <c r="M231" s="486">
        <v>1716286.0343112592</v>
      </c>
      <c r="N231" s="486">
        <v>826255.47016096348</v>
      </c>
      <c r="O231" s="251">
        <f>SUM(LisäyksetVähennykset[[#This Row],[Kuntien yhdistymisavustus (-0,99 €/as)]:[TE25: Uudistuksen rahoituksen siirtymäajan porrastus (50 % kustannusperusteinen / 50 % vos-kriteerit)]])</f>
        <v>-8168572.0058775675</v>
      </c>
      <c r="P231" s="112"/>
    </row>
    <row r="232" spans="1:16" s="45" customFormat="1">
      <c r="A232" s="239">
        <v>742</v>
      </c>
      <c r="B232" s="239" t="s">
        <v>239</v>
      </c>
      <c r="C232" s="326">
        <v>-968.22</v>
      </c>
      <c r="D232" s="121">
        <v>-1750.6200000000001</v>
      </c>
      <c r="E232" s="121">
        <v>-968.22</v>
      </c>
      <c r="F232" s="121">
        <v>-9.7799999999999994</v>
      </c>
      <c r="G232" s="121">
        <v>-24029.46</v>
      </c>
      <c r="H232" s="121">
        <v>-27461.11</v>
      </c>
      <c r="I232" s="121">
        <v>-3223.4007547387268</v>
      </c>
      <c r="J232" s="34">
        <v>192735.78602533921</v>
      </c>
      <c r="K232" s="34">
        <v>-29794.771925857713</v>
      </c>
      <c r="L232" s="34">
        <v>-11230.66902792057</v>
      </c>
      <c r="M232" s="486">
        <v>69020.326418453813</v>
      </c>
      <c r="N232" s="486">
        <v>41132.833351763285</v>
      </c>
      <c r="O232" s="251">
        <f>SUM(LisäyksetVähennykset[[#This Row],[Kuntien yhdistymisavustus (-0,99 €/as)]:[TE25: Uudistuksen rahoituksen siirtymäajan porrastus (50 % kustannusperusteinen / 50 % vos-kriteerit)]])</f>
        <v>203452.6940870393</v>
      </c>
      <c r="P232" s="112"/>
    </row>
    <row r="233" spans="1:16" s="45" customFormat="1">
      <c r="A233" s="239">
        <v>743</v>
      </c>
      <c r="B233" s="239" t="s">
        <v>240</v>
      </c>
      <c r="C233" s="326">
        <v>-65498.400000000001</v>
      </c>
      <c r="D233" s="121">
        <v>-118426.40000000001</v>
      </c>
      <c r="E233" s="121">
        <v>-65498.400000000001</v>
      </c>
      <c r="F233" s="121">
        <v>-661.6</v>
      </c>
      <c r="G233" s="121">
        <v>-1625551.2</v>
      </c>
      <c r="H233" s="121">
        <v>-3186721.75</v>
      </c>
      <c r="I233" s="121">
        <v>-8540111.0518094283</v>
      </c>
      <c r="J233" s="34">
        <v>-3185407.9844180727</v>
      </c>
      <c r="K233" s="34">
        <v>-1969922.9620574934</v>
      </c>
      <c r="L233" s="34">
        <v>-759735.2381259969</v>
      </c>
      <c r="M233" s="486">
        <v>2348341.8496672735</v>
      </c>
      <c r="N233" s="486">
        <v>704964.49632815458</v>
      </c>
      <c r="O233" s="251">
        <f>SUM(LisäyksetVähennykset[[#This Row],[Kuntien yhdistymisavustus (-0,99 €/as)]:[TE25: Uudistuksen rahoituksen siirtymäajan porrastus (50 % kustannusperusteinen / 50 % vos-kriteerit)]])</f>
        <v>-16464228.640415566</v>
      </c>
      <c r="P233" s="112"/>
    </row>
    <row r="234" spans="1:16" s="45" customFormat="1">
      <c r="A234" s="239">
        <v>746</v>
      </c>
      <c r="B234" s="239" t="s">
        <v>241</v>
      </c>
      <c r="C234" s="326">
        <v>-4665.87</v>
      </c>
      <c r="D234" s="121">
        <v>-8436.27</v>
      </c>
      <c r="E234" s="121">
        <v>-4665.87</v>
      </c>
      <c r="F234" s="121">
        <v>-47.13</v>
      </c>
      <c r="G234" s="121">
        <v>-115798.41</v>
      </c>
      <c r="H234" s="121">
        <v>-152253.73000000001</v>
      </c>
      <c r="I234" s="121">
        <v>-149383.12238723849</v>
      </c>
      <c r="J234" s="34">
        <v>-526324.54335448716</v>
      </c>
      <c r="K234" s="34">
        <v>-142791.74602119057</v>
      </c>
      <c r="L234" s="34">
        <v>-54120.800744979191</v>
      </c>
      <c r="M234" s="486">
        <v>117042.39976614976</v>
      </c>
      <c r="N234" s="486">
        <v>-70897.738735934312</v>
      </c>
      <c r="O234" s="251">
        <f>SUM(LisäyksetVähennykset[[#This Row],[Kuntien yhdistymisavustus (-0,99 €/as)]:[TE25: Uudistuksen rahoituksen siirtymäajan porrastus (50 % kustannusperusteinen / 50 % vos-kriteerit)]])</f>
        <v>-1112342.83147768</v>
      </c>
      <c r="P234" s="112"/>
    </row>
    <row r="235" spans="1:16" s="45" customFormat="1">
      <c r="A235" s="239">
        <v>747</v>
      </c>
      <c r="B235" s="239" t="s">
        <v>242</v>
      </c>
      <c r="C235" s="326">
        <v>-1270.17</v>
      </c>
      <c r="D235" s="121">
        <v>-2296.5700000000002</v>
      </c>
      <c r="E235" s="121">
        <v>-1270.17</v>
      </c>
      <c r="F235" s="121">
        <v>-12.83</v>
      </c>
      <c r="G235" s="121">
        <v>-31523.31</v>
      </c>
      <c r="H235" s="121">
        <v>-27338.97</v>
      </c>
      <c r="I235" s="121">
        <v>363375.23704462295</v>
      </c>
      <c r="J235" s="34">
        <v>260994.43064568966</v>
      </c>
      <c r="K235" s="34">
        <v>-39444.900484839971</v>
      </c>
      <c r="L235" s="34">
        <v>-14733.076035605411</v>
      </c>
      <c r="M235" s="486">
        <v>117217.8489052419</v>
      </c>
      <c r="N235" s="486">
        <v>22523.226950109864</v>
      </c>
      <c r="O235" s="251">
        <f>SUM(LisäyksetVähennykset[[#This Row],[Kuntien yhdistymisavustus (-0,99 €/as)]:[TE25: Uudistuksen rahoituksen siirtymäajan porrastus (50 % kustannusperusteinen / 50 % vos-kriteerit)]])</f>
        <v>646220.74702521891</v>
      </c>
      <c r="P235" s="112"/>
    </row>
    <row r="236" spans="1:16" s="45" customFormat="1">
      <c r="A236" s="239">
        <v>748</v>
      </c>
      <c r="B236" s="239" t="s">
        <v>243</v>
      </c>
      <c r="C236" s="326">
        <v>-4788.63</v>
      </c>
      <c r="D236" s="121">
        <v>-8658.23</v>
      </c>
      <c r="E236" s="121">
        <v>-4788.63</v>
      </c>
      <c r="F236" s="121">
        <v>-48.370000000000005</v>
      </c>
      <c r="G236" s="121">
        <v>-118845.09</v>
      </c>
      <c r="H236" s="121">
        <v>-74060.52</v>
      </c>
      <c r="I236" s="121">
        <v>-901599.41526827496</v>
      </c>
      <c r="J236" s="34">
        <v>-878692.8737950729</v>
      </c>
      <c r="K236" s="34">
        <v>-147677.12360417531</v>
      </c>
      <c r="L236" s="34">
        <v>-55544.730151382209</v>
      </c>
      <c r="M236" s="486">
        <v>128110.09448919812</v>
      </c>
      <c r="N236" s="486">
        <v>36377.512462593673</v>
      </c>
      <c r="O236" s="251">
        <f>SUM(LisäyksetVähennykset[[#This Row],[Kuntien yhdistymisavustus (-0,99 €/as)]:[TE25: Uudistuksen rahoituksen siirtymäajan porrastus (50 % kustannusperusteinen / 50 % vos-kriteerit)]])</f>
        <v>-2030216.0058671134</v>
      </c>
      <c r="P236" s="112"/>
    </row>
    <row r="237" spans="1:16" s="45" customFormat="1">
      <c r="A237" s="239">
        <v>749</v>
      </c>
      <c r="B237" s="239" t="s">
        <v>244</v>
      </c>
      <c r="C237" s="326">
        <v>-21077.1</v>
      </c>
      <c r="D237" s="121">
        <v>-38109.1</v>
      </c>
      <c r="E237" s="121">
        <v>-21077.1</v>
      </c>
      <c r="F237" s="121">
        <v>-212.9</v>
      </c>
      <c r="G237" s="121">
        <v>-523095.3</v>
      </c>
      <c r="H237" s="121">
        <v>-848226.63</v>
      </c>
      <c r="I237" s="121">
        <v>-1996436.0565779181</v>
      </c>
      <c r="J237" s="34">
        <v>-1887625.6813418989</v>
      </c>
      <c r="K237" s="34">
        <v>-640286.02988847264</v>
      </c>
      <c r="L237" s="34">
        <v>-244479.4924380664</v>
      </c>
      <c r="M237" s="486">
        <v>449324.04434690671</v>
      </c>
      <c r="N237" s="486">
        <v>-117905.62820181798</v>
      </c>
      <c r="O237" s="251">
        <f>SUM(LisäyksetVähennykset[[#This Row],[Kuntien yhdistymisavustus (-0,99 €/as)]:[TE25: Uudistuksen rahoituksen siirtymäajan porrastus (50 % kustannusperusteinen / 50 % vos-kriteerit)]])</f>
        <v>-5889206.9741012678</v>
      </c>
      <c r="P237" s="112"/>
    </row>
    <row r="238" spans="1:16" s="45" customFormat="1">
      <c r="A238" s="239">
        <v>751</v>
      </c>
      <c r="B238" s="239" t="s">
        <v>245</v>
      </c>
      <c r="C238" s="326">
        <v>-2799.72</v>
      </c>
      <c r="D238" s="121">
        <v>-5062.12</v>
      </c>
      <c r="E238" s="121">
        <v>-2799.72</v>
      </c>
      <c r="F238" s="121">
        <v>-28.28</v>
      </c>
      <c r="G238" s="121">
        <v>-69483.960000000006</v>
      </c>
      <c r="H238" s="121">
        <v>-49531.03</v>
      </c>
      <c r="I238" s="121">
        <v>278049.56468456029</v>
      </c>
      <c r="J238" s="34">
        <v>-33226.524184908201</v>
      </c>
      <c r="K238" s="34">
        <v>-86760.687075599839</v>
      </c>
      <c r="L238" s="34">
        <v>-32474.777107320424</v>
      </c>
      <c r="M238" s="486">
        <v>154249.62439920762</v>
      </c>
      <c r="N238" s="486">
        <v>32087.866450341826</v>
      </c>
      <c r="O238" s="251">
        <f>SUM(LisäyksetVähennykset[[#This Row],[Kuntien yhdistymisavustus (-0,99 €/as)]:[TE25: Uudistuksen rahoituksen siirtymäajan porrastus (50 % kustannusperusteinen / 50 % vos-kriteerit)]])</f>
        <v>182220.23716628127</v>
      </c>
      <c r="P238" s="112"/>
    </row>
    <row r="239" spans="1:16" s="45" customFormat="1">
      <c r="A239" s="239">
        <v>753</v>
      </c>
      <c r="B239" s="239" t="s">
        <v>246</v>
      </c>
      <c r="C239" s="326">
        <v>-22369.05</v>
      </c>
      <c r="D239" s="121">
        <v>-40445.050000000003</v>
      </c>
      <c r="E239" s="121">
        <v>-22369.05</v>
      </c>
      <c r="F239" s="121">
        <v>-225.95000000000002</v>
      </c>
      <c r="G239" s="121">
        <v>-555159.15</v>
      </c>
      <c r="H239" s="121">
        <v>-726841.93</v>
      </c>
      <c r="I239" s="121">
        <v>6617861.821263507</v>
      </c>
      <c r="J239" s="34">
        <v>3217095.7823583297</v>
      </c>
      <c r="K239" s="34">
        <v>-673096.46698901232</v>
      </c>
      <c r="L239" s="34">
        <v>-259465.2011102917</v>
      </c>
      <c r="M239" s="486">
        <v>341565.96070901002</v>
      </c>
      <c r="N239" s="486">
        <v>-327228.02726828842</v>
      </c>
      <c r="O239" s="251">
        <f>SUM(LisäyksetVähennykset[[#This Row],[Kuntien yhdistymisavustus (-0,99 €/as)]:[TE25: Uudistuksen rahoituksen siirtymäajan porrastus (50 % kustannusperusteinen / 50 % vos-kriteerit)]])</f>
        <v>7549323.6889632549</v>
      </c>
      <c r="P239" s="112"/>
    </row>
    <row r="240" spans="1:16" s="45" customFormat="1">
      <c r="A240" s="239">
        <v>755</v>
      </c>
      <c r="B240" s="239" t="s">
        <v>247</v>
      </c>
      <c r="C240" s="326">
        <v>-6096.42</v>
      </c>
      <c r="D240" s="121">
        <v>-11022.82</v>
      </c>
      <c r="E240" s="121">
        <v>-6096.42</v>
      </c>
      <c r="F240" s="121">
        <v>-61.58</v>
      </c>
      <c r="G240" s="121">
        <v>-151302.06</v>
      </c>
      <c r="H240" s="121">
        <v>-173845.16</v>
      </c>
      <c r="I240" s="121">
        <v>945133.31312106608</v>
      </c>
      <c r="J240" s="34">
        <v>930053.8095151576</v>
      </c>
      <c r="K240" s="34">
        <v>-187483.90390997715</v>
      </c>
      <c r="L240" s="34">
        <v>-70714.171650240154</v>
      </c>
      <c r="M240" s="486">
        <v>93995.482876760303</v>
      </c>
      <c r="N240" s="486">
        <v>-91890.252893105644</v>
      </c>
      <c r="O240" s="251">
        <f>SUM(LisäyksetVähennykset[[#This Row],[Kuntien yhdistymisavustus (-0,99 €/as)]:[TE25: Uudistuksen rahoituksen siirtymäajan porrastus (50 % kustannusperusteinen / 50 % vos-kriteerit)]])</f>
        <v>1270669.8170596613</v>
      </c>
      <c r="P240" s="112"/>
    </row>
    <row r="241" spans="1:16" s="45" customFormat="1">
      <c r="A241" s="239">
        <v>758</v>
      </c>
      <c r="B241" s="239" t="s">
        <v>248</v>
      </c>
      <c r="C241" s="326">
        <v>-8044.74</v>
      </c>
      <c r="D241" s="121">
        <v>-14545.54</v>
      </c>
      <c r="E241" s="121">
        <v>-8044.74</v>
      </c>
      <c r="F241" s="121">
        <v>-81.260000000000005</v>
      </c>
      <c r="G241" s="121">
        <v>-199655.82</v>
      </c>
      <c r="H241" s="121">
        <v>-176300.12</v>
      </c>
      <c r="I241" s="121">
        <v>-2319847.9731967202</v>
      </c>
      <c r="J241" s="34">
        <v>-772944.89090967423</v>
      </c>
      <c r="K241" s="34">
        <v>-245294.20530863022</v>
      </c>
      <c r="L241" s="34">
        <v>-93313.30932605578</v>
      </c>
      <c r="M241" s="486">
        <v>288221.85638741188</v>
      </c>
      <c r="N241" s="486">
        <v>144046.64919614291</v>
      </c>
      <c r="O241" s="251">
        <f>SUM(LisäyksetVähennykset[[#This Row],[Kuntien yhdistymisavustus (-0,99 €/as)]:[TE25: Uudistuksen rahoituksen siirtymäajan porrastus (50 % kustannusperusteinen / 50 % vos-kriteerit)]])</f>
        <v>-3405804.0931575261</v>
      </c>
      <c r="P241" s="112"/>
    </row>
    <row r="242" spans="1:16" s="45" customFormat="1">
      <c r="A242" s="239">
        <v>759</v>
      </c>
      <c r="B242" s="239" t="s">
        <v>249</v>
      </c>
      <c r="C242" s="326">
        <v>-1854.27</v>
      </c>
      <c r="D242" s="121">
        <v>-3352.67</v>
      </c>
      <c r="E242" s="121">
        <v>-1854.27</v>
      </c>
      <c r="F242" s="121">
        <v>-18.73</v>
      </c>
      <c r="G242" s="121">
        <v>-46019.61</v>
      </c>
      <c r="H242" s="121">
        <v>-62927.63</v>
      </c>
      <c r="I242" s="121">
        <v>82689.313753813854</v>
      </c>
      <c r="J242" s="34">
        <v>-106862.5249949671</v>
      </c>
      <c r="K242" s="34">
        <v>-58564.21769232356</v>
      </c>
      <c r="L242" s="34">
        <v>-21508.224017684282</v>
      </c>
      <c r="M242" s="486">
        <v>104922.27628552589</v>
      </c>
      <c r="N242" s="486">
        <v>27134.392422632387</v>
      </c>
      <c r="O242" s="251">
        <f>SUM(LisäyksetVähennykset[[#This Row],[Kuntien yhdistymisavustus (-0,99 €/as)]:[TE25: Uudistuksen rahoituksen siirtymäajan porrastus (50 % kustannusperusteinen / 50 % vos-kriteerit)]])</f>
        <v>-88216.164243002801</v>
      </c>
      <c r="P242" s="112"/>
    </row>
    <row r="243" spans="1:16" s="45" customFormat="1">
      <c r="A243" s="239">
        <v>761</v>
      </c>
      <c r="B243" s="239" t="s">
        <v>250</v>
      </c>
      <c r="C243" s="326">
        <v>-8325.9</v>
      </c>
      <c r="D243" s="121">
        <v>-15053.9</v>
      </c>
      <c r="E243" s="121">
        <v>-8325.9</v>
      </c>
      <c r="F243" s="121">
        <v>-84.100000000000009</v>
      </c>
      <c r="G243" s="121">
        <v>-206633.7</v>
      </c>
      <c r="H243" s="121">
        <v>-291234.52</v>
      </c>
      <c r="I243" s="121">
        <v>1182988.9008408741</v>
      </c>
      <c r="J243" s="34">
        <v>539204.53696529835</v>
      </c>
      <c r="K243" s="34">
        <v>-254099.94761870152</v>
      </c>
      <c r="L243" s="34">
        <v>-96574.566998785274</v>
      </c>
      <c r="M243" s="486">
        <v>338786.76433060638</v>
      </c>
      <c r="N243" s="486">
        <v>-81443.848738698696</v>
      </c>
      <c r="O243" s="251">
        <f>SUM(LisäyksetVähennykset[[#This Row],[Kuntien yhdistymisavustus (-0,99 €/as)]:[TE25: Uudistuksen rahoituksen siirtymäajan porrastus (50 % kustannusperusteinen / 50 % vos-kriteerit)]])</f>
        <v>1099203.8187805931</v>
      </c>
      <c r="P243" s="112"/>
    </row>
    <row r="244" spans="1:16" s="45" customFormat="1">
      <c r="A244" s="239">
        <v>762</v>
      </c>
      <c r="B244" s="239" t="s">
        <v>251</v>
      </c>
      <c r="C244" s="326">
        <v>-3600.63</v>
      </c>
      <c r="D244" s="121">
        <v>-6510.2300000000005</v>
      </c>
      <c r="E244" s="121">
        <v>-3600.63</v>
      </c>
      <c r="F244" s="121">
        <v>-36.369999999999997</v>
      </c>
      <c r="G244" s="121">
        <v>-89361.09</v>
      </c>
      <c r="H244" s="121">
        <v>-122521.65</v>
      </c>
      <c r="I244" s="121">
        <v>1132761.1895712006</v>
      </c>
      <c r="J244" s="34">
        <v>530259.31113864889</v>
      </c>
      <c r="K244" s="34">
        <v>-110735.22521432138</v>
      </c>
      <c r="L244" s="34">
        <v>-41764.768153933655</v>
      </c>
      <c r="M244" s="486">
        <v>217142.2437134097</v>
      </c>
      <c r="N244" s="486">
        <v>93729.299893681426</v>
      </c>
      <c r="O244" s="251">
        <f>SUM(LisäyksetVähennykset[[#This Row],[Kuntien yhdistymisavustus (-0,99 €/as)]:[TE25: Uudistuksen rahoituksen siirtymäajan porrastus (50 % kustannusperusteinen / 50 % vos-kriteerit)]])</f>
        <v>1595761.4509486856</v>
      </c>
      <c r="P244" s="112"/>
    </row>
    <row r="245" spans="1:16" s="45" customFormat="1">
      <c r="A245" s="239">
        <v>765</v>
      </c>
      <c r="B245" s="239" t="s">
        <v>252</v>
      </c>
      <c r="C245" s="326">
        <v>-10171.26</v>
      </c>
      <c r="D245" s="121">
        <v>-18390.46</v>
      </c>
      <c r="E245" s="121">
        <v>-10171.26</v>
      </c>
      <c r="F245" s="121">
        <v>-102.74000000000001</v>
      </c>
      <c r="G245" s="121">
        <v>-252432.18</v>
      </c>
      <c r="H245" s="121">
        <v>-256679.44</v>
      </c>
      <c r="I245" s="121">
        <v>-1045315.3510259792</v>
      </c>
      <c r="J245" s="34">
        <v>-20588.402972787982</v>
      </c>
      <c r="K245" s="34">
        <v>-312241.97218656959</v>
      </c>
      <c r="L245" s="34">
        <v>-117979.4413014887</v>
      </c>
      <c r="M245" s="486">
        <v>340727.63510704495</v>
      </c>
      <c r="N245" s="486">
        <v>307589.83603531355</v>
      </c>
      <c r="O245" s="251">
        <f>SUM(LisäyksetVähennykset[[#This Row],[Kuntien yhdistymisavustus (-0,99 €/as)]:[TE25: Uudistuksen rahoituksen siirtymäajan porrastus (50 % kustannusperusteinen / 50 % vos-kriteerit)]])</f>
        <v>-1395755.0363444672</v>
      </c>
      <c r="P245" s="112"/>
    </row>
    <row r="246" spans="1:16" s="45" customFormat="1">
      <c r="A246" s="239">
        <v>768</v>
      </c>
      <c r="B246" s="239" t="s">
        <v>253</v>
      </c>
      <c r="C246" s="326">
        <v>-2344.3200000000002</v>
      </c>
      <c r="D246" s="121">
        <v>-4238.72</v>
      </c>
      <c r="E246" s="121">
        <v>-2344.3200000000002</v>
      </c>
      <c r="F246" s="121">
        <v>-23.68</v>
      </c>
      <c r="G246" s="121">
        <v>-58181.760000000002</v>
      </c>
      <c r="H246" s="121">
        <v>-101882.93</v>
      </c>
      <c r="I246" s="121">
        <v>355766.72625020688</v>
      </c>
      <c r="J246" s="34">
        <v>539322.45091113448</v>
      </c>
      <c r="K246" s="34">
        <v>-71622.04789869643</v>
      </c>
      <c r="L246" s="34">
        <v>-27192.458341631813</v>
      </c>
      <c r="M246" s="486">
        <v>85039.764611373394</v>
      </c>
      <c r="N246" s="486">
        <v>62954.469414639374</v>
      </c>
      <c r="O246" s="251">
        <f>SUM(LisäyksetVähennykset[[#This Row],[Kuntien yhdistymisavustus (-0,99 €/as)]:[TE25: Uudistuksen rahoituksen siirtymäajan porrastus (50 % kustannusperusteinen / 50 % vos-kriteerit)]])</f>
        <v>775253.17494702595</v>
      </c>
      <c r="P246" s="112"/>
    </row>
    <row r="247" spans="1:16" s="45" customFormat="1">
      <c r="A247" s="239">
        <v>777</v>
      </c>
      <c r="B247" s="239" t="s">
        <v>254</v>
      </c>
      <c r="C247" s="326">
        <v>-7100.28</v>
      </c>
      <c r="D247" s="121">
        <v>-12837.880000000001</v>
      </c>
      <c r="E247" s="121">
        <v>-7100.28</v>
      </c>
      <c r="F247" s="121">
        <v>-71.72</v>
      </c>
      <c r="G247" s="121">
        <v>-176216.04</v>
      </c>
      <c r="H247" s="121">
        <v>-211785.67</v>
      </c>
      <c r="I247" s="121">
        <v>298171.42792355263</v>
      </c>
      <c r="J247" s="34">
        <v>432444.0096833767</v>
      </c>
      <c r="K247" s="34">
        <v>-222164.05341881959</v>
      </c>
      <c r="L247" s="34">
        <v>-82358.239538084192</v>
      </c>
      <c r="M247" s="486">
        <v>336891.68591774703</v>
      </c>
      <c r="N247" s="486">
        <v>228348.8718804036</v>
      </c>
      <c r="O247" s="251">
        <f>SUM(LisäyksetVähennykset[[#This Row],[Kuntien yhdistymisavustus (-0,99 €/as)]:[TE25: Uudistuksen rahoituksen siirtymäajan porrastus (50 % kustannusperusteinen / 50 % vos-kriteerit)]])</f>
        <v>576221.83244817622</v>
      </c>
      <c r="P247" s="112"/>
    </row>
    <row r="248" spans="1:16" s="45" customFormat="1">
      <c r="A248" s="239">
        <v>778</v>
      </c>
      <c r="B248" s="239" t="s">
        <v>255</v>
      </c>
      <c r="C248" s="326">
        <v>-6640.92</v>
      </c>
      <c r="D248" s="121">
        <v>-12007.32</v>
      </c>
      <c r="E248" s="121">
        <v>-6640.92</v>
      </c>
      <c r="F248" s="121">
        <v>-67.08</v>
      </c>
      <c r="G248" s="121">
        <v>-164815.56</v>
      </c>
      <c r="H248" s="121">
        <v>-320467.88</v>
      </c>
      <c r="I248" s="121">
        <v>734074.98658735526</v>
      </c>
      <c r="J248" s="34">
        <v>105121.01340025359</v>
      </c>
      <c r="K248" s="34">
        <v>-203949.43576374059</v>
      </c>
      <c r="L248" s="34">
        <v>-77029.987565737407</v>
      </c>
      <c r="M248" s="486">
        <v>254897.80241741706</v>
      </c>
      <c r="N248" s="486">
        <v>4484.2335722733987</v>
      </c>
      <c r="O248" s="251">
        <f>SUM(LisäyksetVähennykset[[#This Row],[Kuntien yhdistymisavustus (-0,99 €/as)]:[TE25: Uudistuksen rahoituksen siirtymäajan porrastus (50 % kustannusperusteinen / 50 % vos-kriteerit)]])</f>
        <v>306958.93264782132</v>
      </c>
      <c r="P248" s="112"/>
    </row>
    <row r="249" spans="1:16" s="45" customFormat="1">
      <c r="A249" s="239">
        <v>781</v>
      </c>
      <c r="B249" s="239" t="s">
        <v>256</v>
      </c>
      <c r="C249" s="326">
        <v>-3461.04</v>
      </c>
      <c r="D249" s="121">
        <v>-6257.84</v>
      </c>
      <c r="E249" s="121">
        <v>-3461.04</v>
      </c>
      <c r="F249" s="121">
        <v>-34.96</v>
      </c>
      <c r="G249" s="121">
        <v>-85896.72</v>
      </c>
      <c r="H249" s="121">
        <v>-101757.95</v>
      </c>
      <c r="I249" s="121">
        <v>1783490.0112421836</v>
      </c>
      <c r="J249" s="34">
        <v>1533948.0738118433</v>
      </c>
      <c r="K249" s="34">
        <v>-105668.90772085568</v>
      </c>
      <c r="L249" s="34">
        <v>-40145.622619233451</v>
      </c>
      <c r="M249" s="486">
        <v>148225.7752360914</v>
      </c>
      <c r="N249" s="486">
        <v>43928.81430604888</v>
      </c>
      <c r="O249" s="251">
        <f>SUM(LisäyksetVähennykset[[#This Row],[Kuntien yhdistymisavustus (-0,99 €/as)]:[TE25: Uudistuksen rahoituksen siirtymäajan porrastus (50 % kustannusperusteinen / 50 % vos-kriteerit)]])</f>
        <v>3162908.5942560779</v>
      </c>
      <c r="P249" s="112"/>
    </row>
    <row r="250" spans="1:16" s="45" customFormat="1">
      <c r="A250" s="239">
        <v>783</v>
      </c>
      <c r="B250" s="239" t="s">
        <v>257</v>
      </c>
      <c r="C250" s="326">
        <v>-6313.23</v>
      </c>
      <c r="D250" s="121">
        <v>-11414.83</v>
      </c>
      <c r="E250" s="121">
        <v>-6313.23</v>
      </c>
      <c r="F250" s="121">
        <v>-63.77</v>
      </c>
      <c r="G250" s="121">
        <v>-156682.89000000001</v>
      </c>
      <c r="H250" s="121">
        <v>-152954.28</v>
      </c>
      <c r="I250" s="121">
        <v>-116359.82610327042</v>
      </c>
      <c r="J250" s="34">
        <v>-12763.85538751459</v>
      </c>
      <c r="K250" s="34">
        <v>-193575.54756283469</v>
      </c>
      <c r="L250" s="34">
        <v>-73229.014714774516</v>
      </c>
      <c r="M250" s="486">
        <v>243239.7698566193</v>
      </c>
      <c r="N250" s="486">
        <v>-74036.192310207873</v>
      </c>
      <c r="O250" s="251">
        <f>SUM(LisäyksetVähennykset[[#This Row],[Kuntien yhdistymisavustus (-0,99 €/as)]:[TE25: Uudistuksen rahoituksen siirtymäajan porrastus (50 % kustannusperusteinen / 50 % vos-kriteerit)]])</f>
        <v>-560466.89622198278</v>
      </c>
      <c r="P250" s="112"/>
    </row>
    <row r="251" spans="1:16" s="104" customFormat="1">
      <c r="A251" s="237">
        <v>785</v>
      </c>
      <c r="B251" s="239" t="s">
        <v>258</v>
      </c>
      <c r="C251" s="326">
        <v>-2563.11</v>
      </c>
      <c r="D251" s="121">
        <v>-4634.3100000000004</v>
      </c>
      <c r="E251" s="121">
        <v>-2563.11</v>
      </c>
      <c r="F251" s="121">
        <v>-25.89</v>
      </c>
      <c r="G251" s="121">
        <v>-63611.73</v>
      </c>
      <c r="H251" s="121">
        <v>-85004.38</v>
      </c>
      <c r="I251" s="121">
        <v>1389340.7288360947</v>
      </c>
      <c r="J251" s="121">
        <v>952167.45973257045</v>
      </c>
      <c r="K251" s="121">
        <v>-79191.367487148134</v>
      </c>
      <c r="L251" s="121">
        <v>-29730.268009495252</v>
      </c>
      <c r="M251" s="487">
        <v>166358.83877064177</v>
      </c>
      <c r="N251" s="487">
        <v>164098.0042101572</v>
      </c>
      <c r="O251" s="251">
        <f>SUM(LisäyksetVähennykset[[#This Row],[Kuntien yhdistymisavustus (-0,99 €/as)]:[TE25: Uudistuksen rahoituksen siirtymäajan porrastus (50 % kustannusperusteinen / 50 % vos-kriteerit)]])</f>
        <v>2404640.8660528213</v>
      </c>
      <c r="P251" s="60"/>
    </row>
    <row r="252" spans="1:16" s="45" customFormat="1">
      <c r="A252" s="239">
        <v>790</v>
      </c>
      <c r="B252" s="239" t="s">
        <v>259</v>
      </c>
      <c r="C252" s="326">
        <v>-23279.85</v>
      </c>
      <c r="D252" s="121">
        <v>-42091.85</v>
      </c>
      <c r="E252" s="121">
        <v>-23279.85</v>
      </c>
      <c r="F252" s="121">
        <v>-235.15</v>
      </c>
      <c r="G252" s="121">
        <v>-577763.55000000005</v>
      </c>
      <c r="H252" s="121">
        <v>-1124783.67</v>
      </c>
      <c r="I252" s="121">
        <v>2350840.587166911</v>
      </c>
      <c r="J252" s="34">
        <v>434402.44598828646</v>
      </c>
      <c r="K252" s="34">
        <v>-715737.97255901515</v>
      </c>
      <c r="L252" s="34">
        <v>-270029.83864166896</v>
      </c>
      <c r="M252" s="486">
        <v>1248133.5713915871</v>
      </c>
      <c r="N252" s="486">
        <v>-97216.650871452759</v>
      </c>
      <c r="O252" s="251">
        <f>SUM(LisäyksetVähennykset[[#This Row],[Kuntien yhdistymisavustus (-0,99 €/as)]:[TE25: Uudistuksen rahoituksen siirtymäajan porrastus (50 % kustannusperusteinen / 50 % vos-kriteerit)]])</f>
        <v>1158958.2224746477</v>
      </c>
      <c r="P252" s="112"/>
    </row>
    <row r="253" spans="1:16" s="45" customFormat="1">
      <c r="A253" s="239">
        <v>791</v>
      </c>
      <c r="B253" s="239" t="s">
        <v>260</v>
      </c>
      <c r="C253" s="326">
        <v>-4881.6899999999996</v>
      </c>
      <c r="D253" s="121">
        <v>-8826.49</v>
      </c>
      <c r="E253" s="121">
        <v>-4881.6899999999996</v>
      </c>
      <c r="F253" s="121">
        <v>-49.31</v>
      </c>
      <c r="G253" s="121">
        <v>-121154.67</v>
      </c>
      <c r="H253" s="121">
        <v>-78591.8</v>
      </c>
      <c r="I253" s="121">
        <v>553916.90257181996</v>
      </c>
      <c r="J253" s="34">
        <v>-9999.9110054230987</v>
      </c>
      <c r="K253" s="34">
        <v>-151657.80163475551</v>
      </c>
      <c r="L253" s="34">
        <v>-56624.16050784901</v>
      </c>
      <c r="M253" s="486">
        <v>194480.34122731857</v>
      </c>
      <c r="N253" s="486">
        <v>-47408.428988917585</v>
      </c>
      <c r="O253" s="251">
        <f>SUM(LisäyksetVähennykset[[#This Row],[Kuntien yhdistymisavustus (-0,99 €/as)]:[TE25: Uudistuksen rahoituksen siirtymäajan porrastus (50 % kustannusperusteinen / 50 % vos-kriteerit)]])</f>
        <v>264321.29166219325</v>
      </c>
      <c r="P253" s="112"/>
    </row>
    <row r="254" spans="1:16" s="45" customFormat="1">
      <c r="A254" s="239">
        <v>831</v>
      </c>
      <c r="B254" s="239" t="s">
        <v>261</v>
      </c>
      <c r="C254" s="326">
        <v>-4578.75</v>
      </c>
      <c r="D254" s="121">
        <v>-8278.75</v>
      </c>
      <c r="E254" s="121">
        <v>-4578.75</v>
      </c>
      <c r="F254" s="121">
        <v>-46.25</v>
      </c>
      <c r="G254" s="121">
        <v>-113636.25</v>
      </c>
      <c r="H254" s="121">
        <v>-110641.97</v>
      </c>
      <c r="I254" s="121">
        <v>146229.83535057845</v>
      </c>
      <c r="J254" s="34">
        <v>141009.46033449439</v>
      </c>
      <c r="K254" s="34">
        <v>-137484.17531375031</v>
      </c>
      <c r="L254" s="34">
        <v>-53110.270198499631</v>
      </c>
      <c r="M254" s="486">
        <v>184131.70252893542</v>
      </c>
      <c r="N254" s="486">
        <v>5104.3802372719801</v>
      </c>
      <c r="O254" s="251">
        <f>SUM(LisäyksetVähennykset[[#This Row],[Kuntien yhdistymisavustus (-0,99 €/as)]:[TE25: Uudistuksen rahoituksen siirtymäajan porrastus (50 % kustannusperusteinen / 50 % vos-kriteerit)]])</f>
        <v>44120.212939030287</v>
      </c>
      <c r="P254" s="112"/>
    </row>
    <row r="255" spans="1:16" s="45" customFormat="1">
      <c r="A255" s="239">
        <v>832</v>
      </c>
      <c r="B255" s="239" t="s">
        <v>262</v>
      </c>
      <c r="C255" s="326">
        <v>-3693.69</v>
      </c>
      <c r="D255" s="121">
        <v>-6678.49</v>
      </c>
      <c r="E255" s="121">
        <v>-3693.69</v>
      </c>
      <c r="F255" s="121">
        <v>-37.31</v>
      </c>
      <c r="G255" s="121">
        <v>-91670.67</v>
      </c>
      <c r="H255" s="121">
        <v>-74499.95</v>
      </c>
      <c r="I255" s="121">
        <v>1613351.2719726204</v>
      </c>
      <c r="J255" s="34">
        <v>925175.26871286985</v>
      </c>
      <c r="K255" s="34">
        <v>-115349.19293158478</v>
      </c>
      <c r="L255" s="34">
        <v>-42844.198510400456</v>
      </c>
      <c r="M255" s="486">
        <v>227658.11825650599</v>
      </c>
      <c r="N255" s="486">
        <v>91023.856406070059</v>
      </c>
      <c r="O255" s="251">
        <f>SUM(LisäyksetVähennykset[[#This Row],[Kuntien yhdistymisavustus (-0,99 €/as)]:[TE25: Uudistuksen rahoituksen siirtymäajan porrastus (50 % kustannusperusteinen / 50 % vos-kriteerit)]])</f>
        <v>2518741.3239060808</v>
      </c>
      <c r="P255" s="112"/>
    </row>
    <row r="256" spans="1:16" s="45" customFormat="1">
      <c r="A256" s="239">
        <v>833</v>
      </c>
      <c r="B256" s="239" t="s">
        <v>263</v>
      </c>
      <c r="C256" s="326">
        <v>-1687.95</v>
      </c>
      <c r="D256" s="121">
        <v>-3051.9500000000003</v>
      </c>
      <c r="E256" s="121">
        <v>-1687.95</v>
      </c>
      <c r="F256" s="121">
        <v>-17.05</v>
      </c>
      <c r="G256" s="121">
        <v>-41891.85</v>
      </c>
      <c r="H256" s="121">
        <v>-29206.959999999999</v>
      </c>
      <c r="I256" s="121">
        <v>445836.51748107228</v>
      </c>
      <c r="J256" s="34">
        <v>538101.53782111465</v>
      </c>
      <c r="K256" s="34">
        <v>-50994.898103871856</v>
      </c>
      <c r="L256" s="34">
        <v>-19579.029338041484</v>
      </c>
      <c r="M256" s="486">
        <v>44608.159186095101</v>
      </c>
      <c r="N256" s="486">
        <v>-7737.7368985692592</v>
      </c>
      <c r="O256" s="251">
        <f>SUM(LisäyksetVähennykset[[#This Row],[Kuntien yhdistymisavustus (-0,99 €/as)]:[TE25: Uudistuksen rahoituksen siirtymäajan porrastus (50 % kustannusperusteinen / 50 % vos-kriteerit)]])</f>
        <v>872690.84014779946</v>
      </c>
      <c r="P256" s="112"/>
    </row>
    <row r="257" spans="1:16" s="45" customFormat="1">
      <c r="A257" s="239">
        <v>834</v>
      </c>
      <c r="B257" s="239" t="s">
        <v>264</v>
      </c>
      <c r="C257" s="326">
        <v>-5785.56</v>
      </c>
      <c r="D257" s="121">
        <v>-10460.76</v>
      </c>
      <c r="E257" s="121">
        <v>-5785.56</v>
      </c>
      <c r="F257" s="121">
        <v>-58.44</v>
      </c>
      <c r="G257" s="121">
        <v>-143587.07999999999</v>
      </c>
      <c r="H257" s="121">
        <v>-133847.06</v>
      </c>
      <c r="I257" s="121">
        <v>1624338.8403982143</v>
      </c>
      <c r="J257" s="34">
        <v>834467.80737592326</v>
      </c>
      <c r="K257" s="34">
        <v>-177290.95561955214</v>
      </c>
      <c r="L257" s="34">
        <v>-67108.414927574457</v>
      </c>
      <c r="M257" s="486">
        <v>177836.14951506059</v>
      </c>
      <c r="N257" s="486">
        <v>-48665.411457027105</v>
      </c>
      <c r="O257" s="251">
        <f>SUM(LisäyksetVähennykset[[#This Row],[Kuntien yhdistymisavustus (-0,99 €/as)]:[TE25: Uudistuksen rahoituksen siirtymäajan porrastus (50 % kustannusperusteinen / 50 % vos-kriteerit)]])</f>
        <v>2044053.5552850447</v>
      </c>
      <c r="P257" s="112"/>
    </row>
    <row r="258" spans="1:16" s="45" customFormat="1">
      <c r="A258" s="239">
        <v>837</v>
      </c>
      <c r="B258" s="239" t="s">
        <v>265</v>
      </c>
      <c r="C258" s="326">
        <v>-252499.5</v>
      </c>
      <c r="D258" s="121">
        <v>-456539.5</v>
      </c>
      <c r="E258" s="121">
        <v>-252499.5</v>
      </c>
      <c r="F258" s="121">
        <v>-2550.5</v>
      </c>
      <c r="G258" s="121">
        <v>-6266578.5</v>
      </c>
      <c r="H258" s="121">
        <v>-24183367.539999999</v>
      </c>
      <c r="I258" s="121">
        <v>-34970250.491503917</v>
      </c>
      <c r="J258" s="34">
        <v>-495141.745784331</v>
      </c>
      <c r="K258" s="34">
        <v>-7509277.6948237894</v>
      </c>
      <c r="L258" s="34">
        <v>-2928816.0895410446</v>
      </c>
      <c r="M258" s="486">
        <v>16575384.939725727</v>
      </c>
      <c r="N258" s="486">
        <v>405118.18952814862</v>
      </c>
      <c r="O258" s="251">
        <f>SUM(LisäyksetVähennykset[[#This Row],[Kuntien yhdistymisavustus (-0,99 €/as)]:[TE25: Uudistuksen rahoituksen siirtymäajan porrastus (50 % kustannusperusteinen / 50 % vos-kriteerit)]])</f>
        <v>-60337017.932399198</v>
      </c>
      <c r="P258" s="112"/>
    </row>
    <row r="259" spans="1:16" s="45" customFormat="1">
      <c r="A259" s="239">
        <v>844</v>
      </c>
      <c r="B259" s="239" t="s">
        <v>266</v>
      </c>
      <c r="C259" s="326">
        <v>-1397.8799999999999</v>
      </c>
      <c r="D259" s="121">
        <v>-2527.48</v>
      </c>
      <c r="E259" s="121">
        <v>-1397.8799999999999</v>
      </c>
      <c r="F259" s="121">
        <v>-14.120000000000001</v>
      </c>
      <c r="G259" s="121">
        <v>-34692.840000000004</v>
      </c>
      <c r="H259" s="121">
        <v>-28220.37</v>
      </c>
      <c r="I259" s="121">
        <v>155520.80933478233</v>
      </c>
      <c r="J259" s="34">
        <v>-4440.961070476681</v>
      </c>
      <c r="K259" s="34">
        <v>-43455.735167166968</v>
      </c>
      <c r="L259" s="34">
        <v>-16214.421950331131</v>
      </c>
      <c r="M259" s="486">
        <v>59775.822805782707</v>
      </c>
      <c r="N259" s="486">
        <v>5680.5118598172558</v>
      </c>
      <c r="O259" s="251">
        <f>SUM(LisäyksetVähennykset[[#This Row],[Kuntien yhdistymisavustus (-0,99 €/as)]:[TE25: Uudistuksen rahoituksen siirtymäajan porrastus (50 % kustannusperusteinen / 50 % vos-kriteerit)]])</f>
        <v>88615.455812407512</v>
      </c>
      <c r="P259" s="112"/>
    </row>
    <row r="260" spans="1:16" s="45" customFormat="1">
      <c r="A260" s="239">
        <v>845</v>
      </c>
      <c r="B260" s="239" t="s">
        <v>267</v>
      </c>
      <c r="C260" s="326">
        <v>-2802.69</v>
      </c>
      <c r="D260" s="121">
        <v>-5067.49</v>
      </c>
      <c r="E260" s="121">
        <v>-2802.69</v>
      </c>
      <c r="F260" s="121">
        <v>-28.310000000000002</v>
      </c>
      <c r="G260" s="121">
        <v>-69557.67</v>
      </c>
      <c r="H260" s="121">
        <v>-52969.440000000002</v>
      </c>
      <c r="I260" s="121">
        <v>211359.29737736387</v>
      </c>
      <c r="J260" s="34">
        <v>-5692.9300474301717</v>
      </c>
      <c r="K260" s="34">
        <v>-86338.493951144366</v>
      </c>
      <c r="L260" s="34">
        <v>-32509.227012314044</v>
      </c>
      <c r="M260" s="486">
        <v>108127.50962420581</v>
      </c>
      <c r="N260" s="486">
        <v>95743.831377542549</v>
      </c>
      <c r="O260" s="251">
        <f>SUM(LisäyksetVähennykset[[#This Row],[Kuntien yhdistymisavustus (-0,99 €/as)]:[TE25: Uudistuksen rahoituksen siirtymäajan porrastus (50 % kustannusperusteinen / 50 % vos-kriteerit)]])</f>
        <v>157461.69736822363</v>
      </c>
      <c r="P260" s="112"/>
    </row>
    <row r="261" spans="1:16" s="45" customFormat="1">
      <c r="A261" s="239">
        <v>846</v>
      </c>
      <c r="B261" s="239" t="s">
        <v>268</v>
      </c>
      <c r="C261" s="326">
        <v>-4710.42</v>
      </c>
      <c r="D261" s="121">
        <v>-8516.82</v>
      </c>
      <c r="E261" s="121">
        <v>-4710.42</v>
      </c>
      <c r="F261" s="121">
        <v>-47.58</v>
      </c>
      <c r="G261" s="121">
        <v>-116904.06</v>
      </c>
      <c r="H261" s="121">
        <v>-109704.12</v>
      </c>
      <c r="I261" s="121">
        <v>1311189.9940146105</v>
      </c>
      <c r="J261" s="34">
        <v>252668.30128288278</v>
      </c>
      <c r="K261" s="34">
        <v>-146621.64079303664</v>
      </c>
      <c r="L261" s="34">
        <v>-54637.54931988351</v>
      </c>
      <c r="M261" s="486">
        <v>248403.36689690748</v>
      </c>
      <c r="N261" s="486">
        <v>-41249.275544059899</v>
      </c>
      <c r="O261" s="251">
        <f>SUM(LisäyksetVähennykset[[#This Row],[Kuntien yhdistymisavustus (-0,99 €/as)]:[TE25: Uudistuksen rahoituksen siirtymäajan porrastus (50 % kustannusperusteinen / 50 % vos-kriteerit)]])</f>
        <v>1325159.7765374207</v>
      </c>
      <c r="P261" s="112"/>
    </row>
    <row r="262" spans="1:16" s="45" customFormat="1">
      <c r="A262" s="239">
        <v>848</v>
      </c>
      <c r="B262" s="239" t="s">
        <v>269</v>
      </c>
      <c r="C262" s="326">
        <v>-4025.34</v>
      </c>
      <c r="D262" s="121">
        <v>-7278.14</v>
      </c>
      <c r="E262" s="121">
        <v>-4025.34</v>
      </c>
      <c r="F262" s="121">
        <v>-40.660000000000004</v>
      </c>
      <c r="G262" s="121">
        <v>-99901.62</v>
      </c>
      <c r="H262" s="121">
        <v>-110109.36</v>
      </c>
      <c r="I262" s="121">
        <v>37651.562379231356</v>
      </c>
      <c r="J262" s="34">
        <v>70148.013402908342</v>
      </c>
      <c r="K262" s="34">
        <v>-125451.67126676934</v>
      </c>
      <c r="L262" s="34">
        <v>-46691.104568021517</v>
      </c>
      <c r="M262" s="486">
        <v>336426.54632570501</v>
      </c>
      <c r="N262" s="486">
        <v>322400.90601722326</v>
      </c>
      <c r="O262" s="251">
        <f>SUM(LisäyksetVähennykset[[#This Row],[Kuntien yhdistymisavustus (-0,99 €/as)]:[TE25: Uudistuksen rahoituksen siirtymäajan porrastus (50 % kustannusperusteinen / 50 % vos-kriteerit)]])</f>
        <v>369103.79229027708</v>
      </c>
      <c r="P262" s="112"/>
    </row>
    <row r="263" spans="1:16" s="45" customFormat="1">
      <c r="A263" s="239">
        <v>849</v>
      </c>
      <c r="B263" s="239" t="s">
        <v>270</v>
      </c>
      <c r="C263" s="326">
        <v>-2820.5099999999998</v>
      </c>
      <c r="D263" s="121">
        <v>-5099.71</v>
      </c>
      <c r="E263" s="121">
        <v>-2820.5099999999998</v>
      </c>
      <c r="F263" s="121">
        <v>-28.490000000000002</v>
      </c>
      <c r="G263" s="121">
        <v>-69999.930000000008</v>
      </c>
      <c r="H263" s="121">
        <v>-84704.93</v>
      </c>
      <c r="I263" s="121">
        <v>699056.30052997847</v>
      </c>
      <c r="J263" s="34">
        <v>80386.42693844717</v>
      </c>
      <c r="K263" s="34">
        <v>-87544.760021017151</v>
      </c>
      <c r="L263" s="34">
        <v>-32715.926442275773</v>
      </c>
      <c r="M263" s="486">
        <v>124786.5122456785</v>
      </c>
      <c r="N263" s="486">
        <v>303.86596300102246</v>
      </c>
      <c r="O263" s="251">
        <f>SUM(LisäyksetVähennykset[[#This Row],[Kuntien yhdistymisavustus (-0,99 €/as)]:[TE25: Uudistuksen rahoituksen siirtymäajan porrastus (50 % kustannusperusteinen / 50 % vos-kriteerit)]])</f>
        <v>618798.33921381214</v>
      </c>
      <c r="P263" s="112"/>
    </row>
    <row r="264" spans="1:16" s="45" customFormat="1">
      <c r="A264" s="239">
        <v>850</v>
      </c>
      <c r="B264" s="239" t="s">
        <v>271</v>
      </c>
      <c r="C264" s="326">
        <v>-2344.3200000000002</v>
      </c>
      <c r="D264" s="121">
        <v>-4238.72</v>
      </c>
      <c r="E264" s="121">
        <v>-2344.3200000000002</v>
      </c>
      <c r="F264" s="121">
        <v>-23.68</v>
      </c>
      <c r="G264" s="121">
        <v>-58181.760000000002</v>
      </c>
      <c r="H264" s="121">
        <v>-50564.78</v>
      </c>
      <c r="I264" s="121">
        <v>253877.37413404483</v>
      </c>
      <c r="J264" s="34">
        <v>185336.10260431189</v>
      </c>
      <c r="K264" s="34">
        <v>-72587.060754594655</v>
      </c>
      <c r="L264" s="34">
        <v>-27192.458341631813</v>
      </c>
      <c r="M264" s="486">
        <v>71337.085225554809</v>
      </c>
      <c r="N264" s="486">
        <v>-5778.8622130812582</v>
      </c>
      <c r="O264" s="251">
        <f>SUM(LisäyksetVähennykset[[#This Row],[Kuntien yhdistymisavustus (-0,99 €/as)]:[TE25: Uudistuksen rahoituksen siirtymäajan porrastus (50 % kustannusperusteinen / 50 % vos-kriteerit)]])</f>
        <v>287294.6006546038</v>
      </c>
      <c r="P264" s="112"/>
    </row>
    <row r="265" spans="1:16" s="45" customFormat="1">
      <c r="A265" s="239">
        <v>851</v>
      </c>
      <c r="B265" s="239" t="s">
        <v>272</v>
      </c>
      <c r="C265" s="326">
        <v>-20807.82</v>
      </c>
      <c r="D265" s="121">
        <v>-37622.22</v>
      </c>
      <c r="E265" s="121">
        <v>-20807.82</v>
      </c>
      <c r="F265" s="121">
        <v>-210.18</v>
      </c>
      <c r="G265" s="121">
        <v>-516412.26</v>
      </c>
      <c r="H265" s="121">
        <v>-794664.64</v>
      </c>
      <c r="I265" s="121">
        <v>-3439851.7611409817</v>
      </c>
      <c r="J265" s="34">
        <v>-2088778.140541346</v>
      </c>
      <c r="K265" s="34">
        <v>-640135.2466297386</v>
      </c>
      <c r="L265" s="34">
        <v>-241356.03438531142</v>
      </c>
      <c r="M265" s="486">
        <v>848280.83302312926</v>
      </c>
      <c r="N265" s="486">
        <v>501319.44457607856</v>
      </c>
      <c r="O265" s="251">
        <f>SUM(LisäyksetVähennykset[[#This Row],[Kuntien yhdistymisavustus (-0,99 €/as)]:[TE25: Uudistuksen rahoituksen siirtymäajan porrastus (50 % kustannusperusteinen / 50 % vos-kriteerit)]])</f>
        <v>-6451045.8450981695</v>
      </c>
      <c r="P265" s="112"/>
    </row>
    <row r="266" spans="1:16" s="45" customFormat="1">
      <c r="A266" s="239">
        <v>853</v>
      </c>
      <c r="B266" s="239" t="s">
        <v>273</v>
      </c>
      <c r="C266" s="326">
        <v>-199844.37</v>
      </c>
      <c r="D266" s="121">
        <v>-361334.77</v>
      </c>
      <c r="E266" s="121">
        <v>-199844.37</v>
      </c>
      <c r="F266" s="121">
        <v>-2018.63</v>
      </c>
      <c r="G266" s="121">
        <v>-4959773.91</v>
      </c>
      <c r="H266" s="121">
        <v>-15397360.42</v>
      </c>
      <c r="I266" s="121">
        <v>-21182231.453536332</v>
      </c>
      <c r="J266" s="34">
        <v>-393514.09583878133</v>
      </c>
      <c r="K266" s="34">
        <v>-5968001.3806955889</v>
      </c>
      <c r="L266" s="34">
        <v>-2318053.7239091313</v>
      </c>
      <c r="M266" s="486">
        <v>8199381.0425101593</v>
      </c>
      <c r="N266" s="486">
        <v>160940.25464374386</v>
      </c>
      <c r="O266" s="251">
        <f>SUM(LisäyksetVähennykset[[#This Row],[Kuntien yhdistymisavustus (-0,99 €/as)]:[TE25: Uudistuksen rahoituksen siirtymäajan porrastus (50 % kustannusperusteinen / 50 % vos-kriteerit)]])</f>
        <v>-42621655.826825924</v>
      </c>
      <c r="P266" s="112"/>
    </row>
    <row r="267" spans="1:16" s="45" customFormat="1">
      <c r="A267" s="239">
        <v>854</v>
      </c>
      <c r="B267" s="239" t="s">
        <v>274</v>
      </c>
      <c r="C267" s="326">
        <v>-3220.47</v>
      </c>
      <c r="D267" s="121">
        <v>-5822.87</v>
      </c>
      <c r="E267" s="121">
        <v>-3220.47</v>
      </c>
      <c r="F267" s="121">
        <v>-32.53</v>
      </c>
      <c r="G267" s="121">
        <v>-79926.210000000006</v>
      </c>
      <c r="H267" s="121">
        <v>-75713.25</v>
      </c>
      <c r="I267" s="121">
        <v>-258941.82132744562</v>
      </c>
      <c r="J267" s="34">
        <v>-245856.28880983192</v>
      </c>
      <c r="K267" s="34">
        <v>-98370.997998125371</v>
      </c>
      <c r="L267" s="34">
        <v>-37355.18031475012</v>
      </c>
      <c r="M267" s="486">
        <v>115085.06166224676</v>
      </c>
      <c r="N267" s="486">
        <v>100079.07184300467</v>
      </c>
      <c r="O267" s="251">
        <f>SUM(LisäyksetVähennykset[[#This Row],[Kuntien yhdistymisavustus (-0,99 €/as)]:[TE25: Uudistuksen rahoituksen siirtymäajan porrastus (50 % kustannusperusteinen / 50 % vos-kriteerit)]])</f>
        <v>-593295.95494490175</v>
      </c>
      <c r="P267" s="112"/>
    </row>
    <row r="268" spans="1:16" s="45" customFormat="1">
      <c r="A268" s="239">
        <v>857</v>
      </c>
      <c r="B268" s="239" t="s">
        <v>275</v>
      </c>
      <c r="C268" s="326">
        <v>-2289.87</v>
      </c>
      <c r="D268" s="121">
        <v>-4140.2700000000004</v>
      </c>
      <c r="E268" s="121">
        <v>-2289.87</v>
      </c>
      <c r="F268" s="121">
        <v>-23.13</v>
      </c>
      <c r="G268" s="121">
        <v>-56830.41</v>
      </c>
      <c r="H268" s="121">
        <v>-99054.5</v>
      </c>
      <c r="I268" s="121">
        <v>-1022661.4713674095</v>
      </c>
      <c r="J268" s="34">
        <v>-636463.50937662576</v>
      </c>
      <c r="K268" s="34">
        <v>-72195.024281885999</v>
      </c>
      <c r="L268" s="34">
        <v>-26560.876750082087</v>
      </c>
      <c r="M268" s="486">
        <v>50604.445785028976</v>
      </c>
      <c r="N268" s="486">
        <v>14457.37663361372</v>
      </c>
      <c r="O268" s="251">
        <f>SUM(LisäyksetVähennykset[[#This Row],[Kuntien yhdistymisavustus (-0,99 €/as)]:[TE25: Uudistuksen rahoituksen siirtymäajan porrastus (50 % kustannusperusteinen / 50 % vos-kriteerit)]])</f>
        <v>-1857447.1093573603</v>
      </c>
      <c r="P268" s="112"/>
    </row>
    <row r="269" spans="1:16" s="45" customFormat="1">
      <c r="A269" s="239">
        <v>858</v>
      </c>
      <c r="B269" s="239" t="s">
        <v>276</v>
      </c>
      <c r="C269" s="326">
        <v>-40924.620000000003</v>
      </c>
      <c r="D269" s="121">
        <v>-73995.02</v>
      </c>
      <c r="E269" s="121">
        <v>-40924.620000000003</v>
      </c>
      <c r="F269" s="121">
        <v>-413.38</v>
      </c>
      <c r="G269" s="121">
        <v>-1015674.66</v>
      </c>
      <c r="H269" s="121">
        <v>-1508417.77</v>
      </c>
      <c r="I269" s="121">
        <v>6577390.6436152803</v>
      </c>
      <c r="J269" s="34">
        <v>2084028.2805360421</v>
      </c>
      <c r="K269" s="34">
        <v>-1217846.2241435607</v>
      </c>
      <c r="L269" s="34">
        <v>-474696.72420877358</v>
      </c>
      <c r="M269" s="486">
        <v>817808.97040225379</v>
      </c>
      <c r="N269" s="486">
        <v>-635066.27621502872</v>
      </c>
      <c r="O269" s="251">
        <f>SUM(LisäyksetVähennykset[[#This Row],[Kuntien yhdistymisavustus (-0,99 €/as)]:[TE25: Uudistuksen rahoituksen siirtymäajan porrastus (50 % kustannusperusteinen / 50 % vos-kriteerit)]])</f>
        <v>4471268.5999862114</v>
      </c>
      <c r="P269" s="112"/>
    </row>
    <row r="270" spans="1:16" s="45" customFormat="1">
      <c r="A270" s="239">
        <v>859</v>
      </c>
      <c r="B270" s="239" t="s">
        <v>277</v>
      </c>
      <c r="C270" s="326">
        <v>-6459.75</v>
      </c>
      <c r="D270" s="121">
        <v>-11679.75</v>
      </c>
      <c r="E270" s="121">
        <v>-6459.75</v>
      </c>
      <c r="F270" s="121">
        <v>-65.25</v>
      </c>
      <c r="G270" s="121">
        <v>-160319.25</v>
      </c>
      <c r="H270" s="121">
        <v>-112094.99</v>
      </c>
      <c r="I270" s="121">
        <v>-1587516.0981961247</v>
      </c>
      <c r="J270" s="34">
        <v>-1660749.7500322366</v>
      </c>
      <c r="K270" s="34">
        <v>-197887.94876262988</v>
      </c>
      <c r="L270" s="34">
        <v>-74928.543361126503</v>
      </c>
      <c r="M270" s="486">
        <v>160187.735593911</v>
      </c>
      <c r="N270" s="486">
        <v>-6223.5848476039828</v>
      </c>
      <c r="O270" s="251">
        <f>SUM(LisäyksetVähennykset[[#This Row],[Kuntien yhdistymisavustus (-0,99 €/as)]:[TE25: Uudistuksen rahoituksen siirtymäajan porrastus (50 % kustannusperusteinen / 50 % vos-kriteerit)]])</f>
        <v>-3664196.9296058104</v>
      </c>
      <c r="P270" s="112"/>
    </row>
    <row r="271" spans="1:16" s="45" customFormat="1">
      <c r="A271" s="239">
        <v>886</v>
      </c>
      <c r="B271" s="239" t="s">
        <v>278</v>
      </c>
      <c r="C271" s="326">
        <v>-12407.67</v>
      </c>
      <c r="D271" s="121">
        <v>-22434.07</v>
      </c>
      <c r="E271" s="121">
        <v>-12407.67</v>
      </c>
      <c r="F271" s="121">
        <v>-125.33</v>
      </c>
      <c r="G271" s="121">
        <v>-307935.81</v>
      </c>
      <c r="H271" s="121">
        <v>-400097.7</v>
      </c>
      <c r="I271" s="121">
        <v>-568353.06672287127</v>
      </c>
      <c r="J271" s="34">
        <v>-555272.01325652446</v>
      </c>
      <c r="K271" s="34">
        <v>-379943.65535817947</v>
      </c>
      <c r="L271" s="34">
        <v>-143920.21976168558</v>
      </c>
      <c r="M271" s="486">
        <v>471578.77823340788</v>
      </c>
      <c r="N271" s="486">
        <v>-55567.487418306177</v>
      </c>
      <c r="O271" s="251">
        <f>SUM(LisäyksetVähennykset[[#This Row],[Kuntien yhdistymisavustus (-0,99 €/as)]:[TE25: Uudistuksen rahoituksen siirtymäajan porrastus (50 % kustannusperusteinen / 50 % vos-kriteerit)]])</f>
        <v>-1986885.9142841585</v>
      </c>
      <c r="P271" s="112"/>
    </row>
    <row r="272" spans="1:16" s="45" customFormat="1">
      <c r="A272" s="239">
        <v>887</v>
      </c>
      <c r="B272" s="239" t="s">
        <v>279</v>
      </c>
      <c r="C272" s="326">
        <v>-4522.32</v>
      </c>
      <c r="D272" s="121">
        <v>-8176.72</v>
      </c>
      <c r="E272" s="121">
        <v>-4522.32</v>
      </c>
      <c r="F272" s="121">
        <v>-45.68</v>
      </c>
      <c r="G272" s="121">
        <v>-112235.76</v>
      </c>
      <c r="H272" s="121">
        <v>-202931.77</v>
      </c>
      <c r="I272" s="121">
        <v>-585220.67052326992</v>
      </c>
      <c r="J272" s="34">
        <v>-203021.04185281892</v>
      </c>
      <c r="K272" s="34">
        <v>-137785.7418312185</v>
      </c>
      <c r="L272" s="34">
        <v>-52455.722003620824</v>
      </c>
      <c r="M272" s="486">
        <v>453127.65363271011</v>
      </c>
      <c r="N272" s="486">
        <v>-30001.880872409325</v>
      </c>
      <c r="O272" s="251">
        <f>SUM(LisäyksetVähennykset[[#This Row],[Kuntien yhdistymisavustus (-0,99 €/as)]:[TE25: Uudistuksen rahoituksen siirtymäajan porrastus (50 % kustannusperusteinen / 50 % vos-kriteerit)]])</f>
        <v>-887791.97345062729</v>
      </c>
      <c r="P272" s="112"/>
    </row>
    <row r="273" spans="1:16" s="45" customFormat="1">
      <c r="A273" s="239">
        <v>889</v>
      </c>
      <c r="B273" s="239" t="s">
        <v>280</v>
      </c>
      <c r="C273" s="326">
        <v>-2466.09</v>
      </c>
      <c r="D273" s="121">
        <v>-4458.8900000000003</v>
      </c>
      <c r="E273" s="121">
        <v>-2466.09</v>
      </c>
      <c r="F273" s="121">
        <v>-24.91</v>
      </c>
      <c r="G273" s="121">
        <v>-61203.87</v>
      </c>
      <c r="H273" s="121">
        <v>-46498.43</v>
      </c>
      <c r="I273" s="121">
        <v>1056507.5616959352</v>
      </c>
      <c r="J273" s="34">
        <v>314070.93158763601</v>
      </c>
      <c r="K273" s="34">
        <v>-76085.232357225716</v>
      </c>
      <c r="L273" s="34">
        <v>-28604.904446370288</v>
      </c>
      <c r="M273" s="486">
        <v>111564.88392448131</v>
      </c>
      <c r="N273" s="486">
        <v>103852.28119240605</v>
      </c>
      <c r="O273" s="251">
        <f>SUM(LisäyksetVähennykset[[#This Row],[Kuntien yhdistymisavustus (-0,99 €/as)]:[TE25: Uudistuksen rahoituksen siirtymäajan porrastus (50 % kustannusperusteinen / 50 % vos-kriteerit)]])</f>
        <v>1364187.2415968627</v>
      </c>
      <c r="P273" s="112"/>
    </row>
    <row r="274" spans="1:16" s="45" customFormat="1">
      <c r="A274" s="239">
        <v>890</v>
      </c>
      <c r="B274" s="239" t="s">
        <v>281</v>
      </c>
      <c r="C274" s="326">
        <v>-1127.6099999999999</v>
      </c>
      <c r="D274" s="121">
        <v>-2038.81</v>
      </c>
      <c r="E274" s="121">
        <v>-1127.6099999999999</v>
      </c>
      <c r="F274" s="121">
        <v>-11.39</v>
      </c>
      <c r="G274" s="121">
        <v>-27985.23</v>
      </c>
      <c r="H274" s="121">
        <v>-27466.49</v>
      </c>
      <c r="I274" s="121">
        <v>-41058.545710822262</v>
      </c>
      <c r="J274" s="34">
        <v>427034.49769470404</v>
      </c>
      <c r="K274" s="34">
        <v>-35584.84906124707</v>
      </c>
      <c r="L274" s="34">
        <v>-13079.480595911586</v>
      </c>
      <c r="M274" s="486">
        <v>23437.960974083602</v>
      </c>
      <c r="N274" s="486">
        <v>-10923.550878645183</v>
      </c>
      <c r="O274" s="251">
        <f>SUM(LisäyksetVähennykset[[#This Row],[Kuntien yhdistymisavustus (-0,99 €/as)]:[TE25: Uudistuksen rahoituksen siirtymäajan porrastus (50 % kustannusperusteinen / 50 % vos-kriteerit)]])</f>
        <v>290068.89242216153</v>
      </c>
      <c r="P274" s="112"/>
    </row>
    <row r="275" spans="1:16" s="45" customFormat="1">
      <c r="A275" s="239">
        <v>892</v>
      </c>
      <c r="B275" s="239" t="s">
        <v>282</v>
      </c>
      <c r="C275" s="326">
        <v>-3578.85</v>
      </c>
      <c r="D275" s="121">
        <v>-6470.85</v>
      </c>
      <c r="E275" s="121">
        <v>-3578.85</v>
      </c>
      <c r="F275" s="121">
        <v>-36.15</v>
      </c>
      <c r="G275" s="121">
        <v>-88820.55</v>
      </c>
      <c r="H275" s="121">
        <v>-74851.62</v>
      </c>
      <c r="I275" s="121">
        <v>507921.81105808105</v>
      </c>
      <c r="J275" s="34">
        <v>85835.349543812132</v>
      </c>
      <c r="K275" s="34">
        <v>-108322.69307457581</v>
      </c>
      <c r="L275" s="34">
        <v>-41512.135517313764</v>
      </c>
      <c r="M275" s="486">
        <v>170256.092341804</v>
      </c>
      <c r="N275" s="486">
        <v>-12646.590459640924</v>
      </c>
      <c r="O275" s="251">
        <f>SUM(LisäyksetVähennykset[[#This Row],[Kuntien yhdistymisavustus (-0,99 €/as)]:[TE25: Uudistuksen rahoituksen siirtymäajan porrastus (50 % kustannusperusteinen / 50 % vos-kriteerit)]])</f>
        <v>424194.96389216674</v>
      </c>
      <c r="P275" s="112"/>
    </row>
    <row r="276" spans="1:16" s="45" customFormat="1">
      <c r="A276" s="239">
        <v>893</v>
      </c>
      <c r="B276" s="239" t="s">
        <v>283</v>
      </c>
      <c r="C276" s="326">
        <v>-7425</v>
      </c>
      <c r="D276" s="121">
        <v>-13425</v>
      </c>
      <c r="E276" s="121">
        <v>-7425</v>
      </c>
      <c r="F276" s="121">
        <v>-75</v>
      </c>
      <c r="G276" s="121">
        <v>-184275</v>
      </c>
      <c r="H276" s="121">
        <v>-146434.4</v>
      </c>
      <c r="I276" s="121">
        <v>-486611.11480519688</v>
      </c>
      <c r="J276" s="34">
        <v>-14782.131321200102</v>
      </c>
      <c r="K276" s="34">
        <v>-224184.54908585653</v>
      </c>
      <c r="L276" s="34">
        <v>-86124.762484053455</v>
      </c>
      <c r="M276" s="486">
        <v>277877.13168577017</v>
      </c>
      <c r="N276" s="486">
        <v>-115347.83307853265</v>
      </c>
      <c r="O276" s="251">
        <f>SUM(LisäyksetVähennykset[[#This Row],[Kuntien yhdistymisavustus (-0,99 €/as)]:[TE25: Uudistuksen rahoituksen siirtymäajan porrastus (50 % kustannusperusteinen / 50 % vos-kriteerit)]])</f>
        <v>-1008232.6590890693</v>
      </c>
      <c r="P276" s="112"/>
    </row>
    <row r="277" spans="1:16" s="45" customFormat="1">
      <c r="A277" s="239">
        <v>895</v>
      </c>
      <c r="B277" s="239" t="s">
        <v>284</v>
      </c>
      <c r="C277" s="326">
        <v>-14788.619999999999</v>
      </c>
      <c r="D277" s="121">
        <v>-26739.02</v>
      </c>
      <c r="E277" s="121">
        <v>-14788.619999999999</v>
      </c>
      <c r="F277" s="121">
        <v>-149.38</v>
      </c>
      <c r="G277" s="121">
        <v>-367026.66000000003</v>
      </c>
      <c r="H277" s="121">
        <v>-475801.5</v>
      </c>
      <c r="I277" s="121">
        <v>676603.38332588936</v>
      </c>
      <c r="J277" s="34">
        <v>878871.72941458388</v>
      </c>
      <c r="K277" s="34">
        <v>-455124.18816300062</v>
      </c>
      <c r="L277" s="34">
        <v>-171537.56026490539</v>
      </c>
      <c r="M277" s="486">
        <v>863279.94855961599</v>
      </c>
      <c r="N277" s="486">
        <v>-186713.26373701589</v>
      </c>
      <c r="O277" s="251">
        <f>SUM(LisäyksetVähennykset[[#This Row],[Kuntien yhdistymisavustus (-0,99 €/as)]:[TE25: Uudistuksen rahoituksen siirtymäajan porrastus (50 % kustannusperusteinen / 50 % vos-kriteerit)]])</f>
        <v>706086.24913516734</v>
      </c>
      <c r="P277" s="112"/>
    </row>
    <row r="278" spans="1:16" s="45" customFormat="1">
      <c r="A278" s="239">
        <v>905</v>
      </c>
      <c r="B278" s="239" t="s">
        <v>285</v>
      </c>
      <c r="C278" s="326">
        <v>-68266.44</v>
      </c>
      <c r="D278" s="121">
        <v>-123431.24</v>
      </c>
      <c r="E278" s="121">
        <v>-68266.44</v>
      </c>
      <c r="F278" s="121">
        <v>-689.56000000000006</v>
      </c>
      <c r="G278" s="121">
        <v>-1694248.92</v>
      </c>
      <c r="H278" s="121">
        <v>-3866533.14</v>
      </c>
      <c r="I278" s="121">
        <v>-14669844.570508882</v>
      </c>
      <c r="J278" s="34">
        <v>-5704891.7705339277</v>
      </c>
      <c r="K278" s="34">
        <v>-2050290.4389627676</v>
      </c>
      <c r="L278" s="34">
        <v>-791842.54958005203</v>
      </c>
      <c r="M278" s="486">
        <v>3494124.0174267404</v>
      </c>
      <c r="N278" s="486">
        <v>585365.35988059454</v>
      </c>
      <c r="O278" s="251">
        <f>SUM(LisäyksetVähennykset[[#This Row],[Kuntien yhdistymisavustus (-0,99 €/as)]:[TE25: Uudistuksen rahoituksen siirtymäajan porrastus (50 % kustannusperusteinen / 50 % vos-kriteerit)]])</f>
        <v>-24958815.692278296</v>
      </c>
      <c r="P278" s="112"/>
    </row>
    <row r="279" spans="1:16" s="45" customFormat="1">
      <c r="A279" s="239">
        <v>908</v>
      </c>
      <c r="B279" s="239" t="s">
        <v>286</v>
      </c>
      <c r="C279" s="326">
        <v>-20487.060000000001</v>
      </c>
      <c r="D279" s="121">
        <v>-37042.26</v>
      </c>
      <c r="E279" s="121">
        <v>-20487.060000000001</v>
      </c>
      <c r="F279" s="121">
        <v>-206.94</v>
      </c>
      <c r="G279" s="121">
        <v>-508451.58</v>
      </c>
      <c r="H279" s="121">
        <v>-756609.26</v>
      </c>
      <c r="I279" s="121">
        <v>-2369717.6608439772</v>
      </c>
      <c r="J279" s="34">
        <v>-702942.70820331341</v>
      </c>
      <c r="K279" s="34">
        <v>-624333.16111440514</v>
      </c>
      <c r="L279" s="34">
        <v>-237635.44464600031</v>
      </c>
      <c r="M279" s="486">
        <v>1147290.5997017133</v>
      </c>
      <c r="N279" s="486">
        <v>-219945.67006183218</v>
      </c>
      <c r="O279" s="251">
        <f>SUM(LisäyksetVähennykset[[#This Row],[Kuntien yhdistymisavustus (-0,99 €/as)]:[TE25: Uudistuksen rahoituksen siirtymäajan porrastus (50 % kustannusperusteinen / 50 % vos-kriteerit)]])</f>
        <v>-4350568.2051678142</v>
      </c>
      <c r="P279" s="112"/>
    </row>
    <row r="280" spans="1:16" s="45" customFormat="1">
      <c r="A280" s="239">
        <v>915</v>
      </c>
      <c r="B280" s="239" t="s">
        <v>287</v>
      </c>
      <c r="C280" s="326">
        <v>-19529.73</v>
      </c>
      <c r="D280" s="121">
        <v>-35311.33</v>
      </c>
      <c r="E280" s="121">
        <v>-19529.73</v>
      </c>
      <c r="F280" s="121">
        <v>-197.27</v>
      </c>
      <c r="G280" s="121">
        <v>-484692.39</v>
      </c>
      <c r="H280" s="121">
        <v>-1235563.3999999999</v>
      </c>
      <c r="I280" s="121">
        <v>-286264.90121754823</v>
      </c>
      <c r="J280" s="34">
        <v>-39289.767658809906</v>
      </c>
      <c r="K280" s="34">
        <v>-595865.28186540748</v>
      </c>
      <c r="L280" s="34">
        <v>-226531.09193638968</v>
      </c>
      <c r="M280" s="486">
        <v>1463530.1649426175</v>
      </c>
      <c r="N280" s="486">
        <v>434511.15228522848</v>
      </c>
      <c r="O280" s="251">
        <f>SUM(LisäyksetVähennykset[[#This Row],[Kuntien yhdistymisavustus (-0,99 €/as)]:[TE25: Uudistuksen rahoituksen siirtymäajan porrastus (50 % kustannusperusteinen / 50 % vos-kriteerit)]])</f>
        <v>-1044733.5754503096</v>
      </c>
      <c r="P280" s="112"/>
    </row>
    <row r="281" spans="1:16" s="45" customFormat="1">
      <c r="A281" s="239">
        <v>918</v>
      </c>
      <c r="B281" s="239" t="s">
        <v>288</v>
      </c>
      <c r="C281" s="326">
        <v>-2222.5500000000002</v>
      </c>
      <c r="D281" s="121">
        <v>-4018.55</v>
      </c>
      <c r="E281" s="121">
        <v>-2222.5500000000002</v>
      </c>
      <c r="F281" s="121">
        <v>-22.45</v>
      </c>
      <c r="G281" s="121">
        <v>-55159.65</v>
      </c>
      <c r="H281" s="121">
        <v>-85604.05</v>
      </c>
      <c r="I281" s="121">
        <v>-18090.117671402721</v>
      </c>
      <c r="J281" s="34">
        <v>-4430.2648081293828</v>
      </c>
      <c r="K281" s="34">
        <v>-67189.020091913946</v>
      </c>
      <c r="L281" s="34">
        <v>-25780.012236893333</v>
      </c>
      <c r="M281" s="486">
        <v>27991.224172728907</v>
      </c>
      <c r="N281" s="486">
        <v>-57149.977397533577</v>
      </c>
      <c r="O281" s="251">
        <f>SUM(LisäyksetVähennykset[[#This Row],[Kuntien yhdistymisavustus (-0,99 €/as)]:[TE25: Uudistuksen rahoituksen siirtymäajan porrastus (50 % kustannusperusteinen / 50 % vos-kriteerit)]])</f>
        <v>-293897.96803314408</v>
      </c>
      <c r="P281" s="112"/>
    </row>
    <row r="282" spans="1:16" s="45" customFormat="1">
      <c r="A282" s="239">
        <v>921</v>
      </c>
      <c r="B282" s="239" t="s">
        <v>289</v>
      </c>
      <c r="C282" s="326">
        <v>-1876.05</v>
      </c>
      <c r="D282" s="121">
        <v>-3392.05</v>
      </c>
      <c r="E282" s="121">
        <v>-1876.05</v>
      </c>
      <c r="F282" s="121">
        <v>-18.95</v>
      </c>
      <c r="G282" s="121">
        <v>-46560.15</v>
      </c>
      <c r="H282" s="121">
        <v>-62880.04</v>
      </c>
      <c r="I282" s="121">
        <v>716128.11511686561</v>
      </c>
      <c r="J282" s="34">
        <v>22723.068921078418</v>
      </c>
      <c r="K282" s="34">
        <v>-57116.698408476223</v>
      </c>
      <c r="L282" s="34">
        <v>-21760.856654304174</v>
      </c>
      <c r="M282" s="486">
        <v>82922.864464913539</v>
      </c>
      <c r="N282" s="486">
        <v>-6398.3241757572541</v>
      </c>
      <c r="O282" s="251">
        <f>SUM(LisäyksetVähennykset[[#This Row],[Kuntien yhdistymisavustus (-0,99 €/as)]:[TE25: Uudistuksen rahoituksen siirtymäajan porrastus (50 % kustannusperusteinen / 50 % vos-kriteerit)]])</f>
        <v>619894.8792643199</v>
      </c>
      <c r="P282" s="112"/>
    </row>
    <row r="283" spans="1:16" s="45" customFormat="1">
      <c r="A283" s="239">
        <v>922</v>
      </c>
      <c r="B283" s="239" t="s">
        <v>290</v>
      </c>
      <c r="C283" s="326">
        <v>-4424.3100000000004</v>
      </c>
      <c r="D283" s="121">
        <v>-7999.51</v>
      </c>
      <c r="E283" s="121">
        <v>-4424.3100000000004</v>
      </c>
      <c r="F283" s="121">
        <v>-44.69</v>
      </c>
      <c r="G283" s="121">
        <v>-109803.33</v>
      </c>
      <c r="H283" s="121">
        <v>-89224.08</v>
      </c>
      <c r="I283" s="121">
        <v>-130315.88416116494</v>
      </c>
      <c r="J283" s="34">
        <v>-105560.02261019929</v>
      </c>
      <c r="K283" s="34">
        <v>-135735.08951243479</v>
      </c>
      <c r="L283" s="34">
        <v>-51318.875138831318</v>
      </c>
      <c r="M283" s="486">
        <v>236212.19863731024</v>
      </c>
      <c r="N283" s="486">
        <v>-57345.689844154695</v>
      </c>
      <c r="O283" s="251">
        <f>SUM(LisäyksetVähennykset[[#This Row],[Kuntien yhdistymisavustus (-0,99 €/as)]:[TE25: Uudistuksen rahoituksen siirtymäajan porrastus (50 % kustannusperusteinen / 50 % vos-kriteerit)]])</f>
        <v>-459983.5926294747</v>
      </c>
      <c r="P283" s="112"/>
    </row>
    <row r="284" spans="1:16" s="45" customFormat="1">
      <c r="A284" s="239">
        <v>924</v>
      </c>
      <c r="B284" s="239" t="s">
        <v>291</v>
      </c>
      <c r="C284" s="326">
        <v>-2906.64</v>
      </c>
      <c r="D284" s="121">
        <v>-5255.4400000000005</v>
      </c>
      <c r="E284" s="121">
        <v>-2906.64</v>
      </c>
      <c r="F284" s="121">
        <v>-29.36</v>
      </c>
      <c r="G284" s="121">
        <v>-72137.52</v>
      </c>
      <c r="H284" s="121">
        <v>-39846.21</v>
      </c>
      <c r="I284" s="121">
        <v>141827.6274366127</v>
      </c>
      <c r="J284" s="34">
        <v>-68796.283851382512</v>
      </c>
      <c r="K284" s="34">
        <v>-88841.496046130385</v>
      </c>
      <c r="L284" s="34">
        <v>-33714.973687090795</v>
      </c>
      <c r="M284" s="486">
        <v>139165.9581946783</v>
      </c>
      <c r="N284" s="486">
        <v>-36759.195448442741</v>
      </c>
      <c r="O284" s="251">
        <f>SUM(LisäyksetVähennykset[[#This Row],[Kuntien yhdistymisavustus (-0,99 €/as)]:[TE25: Uudistuksen rahoituksen siirtymäajan porrastus (50 % kustannusperusteinen / 50 % vos-kriteerit)]])</f>
        <v>-70200.173401755426</v>
      </c>
      <c r="P284" s="112"/>
    </row>
    <row r="285" spans="1:16" s="45" customFormat="1">
      <c r="A285" s="239">
        <v>925</v>
      </c>
      <c r="B285" s="239" t="s">
        <v>292</v>
      </c>
      <c r="C285" s="326">
        <v>-3353.13</v>
      </c>
      <c r="D285" s="121">
        <v>-6062.7300000000005</v>
      </c>
      <c r="E285" s="121">
        <v>-3353.13</v>
      </c>
      <c r="F285" s="121">
        <v>-33.869999999999997</v>
      </c>
      <c r="G285" s="121">
        <v>-83218.59</v>
      </c>
      <c r="H285" s="121">
        <v>-70964.09</v>
      </c>
      <c r="I285" s="121">
        <v>1247514.9031218986</v>
      </c>
      <c r="J285" s="34">
        <v>819209.07484237314</v>
      </c>
      <c r="K285" s="34">
        <v>-103346.84553635061</v>
      </c>
      <c r="L285" s="34">
        <v>-38893.942737798541</v>
      </c>
      <c r="M285" s="486">
        <v>103230.59683794747</v>
      </c>
      <c r="N285" s="486">
        <v>-6772.5716022644774</v>
      </c>
      <c r="O285" s="251">
        <f>SUM(LisäyksetVähennykset[[#This Row],[Kuntien yhdistymisavustus (-0,99 €/as)]:[TE25: Uudistuksen rahoituksen siirtymäajan porrastus (50 % kustannusperusteinen / 50 % vos-kriteerit)]])</f>
        <v>1853955.6749258058</v>
      </c>
      <c r="P285" s="112"/>
    </row>
    <row r="286" spans="1:16" s="45" customFormat="1">
      <c r="A286" s="239">
        <v>927</v>
      </c>
      <c r="B286" s="239" t="s">
        <v>293</v>
      </c>
      <c r="C286" s="326">
        <v>-28522.89</v>
      </c>
      <c r="D286" s="121">
        <v>-51571.69</v>
      </c>
      <c r="E286" s="121">
        <v>-28522.89</v>
      </c>
      <c r="F286" s="121">
        <v>-288.11</v>
      </c>
      <c r="G286" s="121">
        <v>-707886.27</v>
      </c>
      <c r="H286" s="121">
        <v>-1488434.93</v>
      </c>
      <c r="I286" s="121">
        <v>1374124.0381491049</v>
      </c>
      <c r="J286" s="34">
        <v>749266.37300253601</v>
      </c>
      <c r="K286" s="34">
        <v>-871919.27195579361</v>
      </c>
      <c r="L286" s="34">
        <v>-330845.40425707522</v>
      </c>
      <c r="M286" s="486">
        <v>947029.93438190152</v>
      </c>
      <c r="N286" s="486">
        <v>-92940.806765491609</v>
      </c>
      <c r="O286" s="251">
        <f>SUM(LisäyksetVähennykset[[#This Row],[Kuntien yhdistymisavustus (-0,99 €/as)]:[TE25: Uudistuksen rahoituksen siirtymäajan porrastus (50 % kustannusperusteinen / 50 % vos-kriteerit)]])</f>
        <v>-530511.91744481772</v>
      </c>
      <c r="P286" s="112"/>
    </row>
    <row r="287" spans="1:16" s="45" customFormat="1">
      <c r="A287" s="239">
        <v>931</v>
      </c>
      <c r="B287" s="239" t="s">
        <v>294</v>
      </c>
      <c r="C287" s="326">
        <v>-5818.23</v>
      </c>
      <c r="D287" s="121">
        <v>-10519.83</v>
      </c>
      <c r="E287" s="121">
        <v>-5818.23</v>
      </c>
      <c r="F287" s="121">
        <v>-58.77</v>
      </c>
      <c r="G287" s="121">
        <v>-144397.89000000001</v>
      </c>
      <c r="H287" s="121">
        <v>-278326.21999999997</v>
      </c>
      <c r="I287" s="121">
        <v>2422506.1543391398</v>
      </c>
      <c r="J287" s="34">
        <v>1488694.3125077351</v>
      </c>
      <c r="K287" s="34">
        <v>-179462.23454532315</v>
      </c>
      <c r="L287" s="34">
        <v>-67487.363882504287</v>
      </c>
      <c r="M287" s="486">
        <v>225607.00530776998</v>
      </c>
      <c r="N287" s="486">
        <v>230461.27842994506</v>
      </c>
      <c r="O287" s="251">
        <f>SUM(LisäyksetVähennykset[[#This Row],[Kuntien yhdistymisavustus (-0,99 €/as)]:[TE25: Uudistuksen rahoituksen siirtymäajan porrastus (50 % kustannusperusteinen / 50 % vos-kriteerit)]])</f>
        <v>3675379.9821567624</v>
      </c>
      <c r="P287" s="112"/>
    </row>
    <row r="288" spans="1:16" s="45" customFormat="1">
      <c r="A288" s="239">
        <v>934</v>
      </c>
      <c r="B288" s="239" t="s">
        <v>295</v>
      </c>
      <c r="C288" s="326">
        <v>-2629.44</v>
      </c>
      <c r="D288" s="121">
        <v>-4754.24</v>
      </c>
      <c r="E288" s="121">
        <v>-2629.44</v>
      </c>
      <c r="F288" s="121">
        <v>-26.560000000000002</v>
      </c>
      <c r="G288" s="121">
        <v>-65257.919999999998</v>
      </c>
      <c r="H288" s="121">
        <v>-60893.26</v>
      </c>
      <c r="I288" s="121">
        <v>387424.00475051533</v>
      </c>
      <c r="J288" s="34">
        <v>-5311.1478018463113</v>
      </c>
      <c r="K288" s="34">
        <v>-80548.416815755016</v>
      </c>
      <c r="L288" s="34">
        <v>-30499.649221019463</v>
      </c>
      <c r="M288" s="486">
        <v>63438.521688261397</v>
      </c>
      <c r="N288" s="486">
        <v>21624.03187150546</v>
      </c>
      <c r="O288" s="251">
        <f>SUM(LisäyksetVähennykset[[#This Row],[Kuntien yhdistymisavustus (-0,99 €/as)]:[TE25: Uudistuksen rahoituksen siirtymäajan porrastus (50 % kustannusperusteinen / 50 % vos-kriteerit)]])</f>
        <v>219936.48447166136</v>
      </c>
      <c r="P288" s="112"/>
    </row>
    <row r="289" spans="1:16" s="45" customFormat="1">
      <c r="A289" s="239">
        <v>935</v>
      </c>
      <c r="B289" s="239" t="s">
        <v>296</v>
      </c>
      <c r="C289" s="326">
        <v>-2897.73</v>
      </c>
      <c r="D289" s="121">
        <v>-5239.33</v>
      </c>
      <c r="E289" s="121">
        <v>-2897.73</v>
      </c>
      <c r="F289" s="121">
        <v>-29.27</v>
      </c>
      <c r="G289" s="121">
        <v>-71916.39</v>
      </c>
      <c r="H289" s="121">
        <v>-103422.33</v>
      </c>
      <c r="I289" s="121">
        <v>50698.728728709175</v>
      </c>
      <c r="J289" s="34">
        <v>66507.36700500935</v>
      </c>
      <c r="K289" s="34">
        <v>-90017.605464256354</v>
      </c>
      <c r="L289" s="34">
        <v>-33611.623972109926</v>
      </c>
      <c r="M289" s="486">
        <v>151115.48268915692</v>
      </c>
      <c r="N289" s="486">
        <v>-16354.756487701321</v>
      </c>
      <c r="O289" s="251">
        <f>SUM(LisäyksetVähennykset[[#This Row],[Kuntien yhdistymisavustus (-0,99 €/as)]:[TE25: Uudistuksen rahoituksen siirtymäajan porrastus (50 % kustannusperusteinen / 50 % vos-kriteerit)]])</f>
        <v>-58065.187501192122</v>
      </c>
      <c r="P289" s="112"/>
    </row>
    <row r="290" spans="1:16" s="45" customFormat="1">
      <c r="A290" s="239">
        <v>936</v>
      </c>
      <c r="B290" s="239" t="s">
        <v>297</v>
      </c>
      <c r="C290" s="326">
        <v>-6212.25</v>
      </c>
      <c r="D290" s="121">
        <v>-11232.25</v>
      </c>
      <c r="E290" s="121">
        <v>-6212.25</v>
      </c>
      <c r="F290" s="121">
        <v>-62.75</v>
      </c>
      <c r="G290" s="121">
        <v>-154176.75</v>
      </c>
      <c r="H290" s="121">
        <v>-195865.12</v>
      </c>
      <c r="I290" s="121">
        <v>1985608.0072656625</v>
      </c>
      <c r="J290" s="34">
        <v>770687.64512677793</v>
      </c>
      <c r="K290" s="34">
        <v>-192851.78792091101</v>
      </c>
      <c r="L290" s="34">
        <v>-72057.717944991397</v>
      </c>
      <c r="M290" s="486">
        <v>248642.81072485005</v>
      </c>
      <c r="N290" s="486">
        <v>57591.593509945495</v>
      </c>
      <c r="O290" s="251">
        <f>SUM(LisäyksetVähennykset[[#This Row],[Kuntien yhdistymisavustus (-0,99 €/as)]:[TE25: Uudistuksen rahoituksen siirtymäajan porrastus (50 % kustannusperusteinen / 50 % vos-kriteerit)]])</f>
        <v>2423859.180761334</v>
      </c>
      <c r="P290" s="112"/>
    </row>
    <row r="291" spans="1:16" s="45" customFormat="1">
      <c r="A291" s="239">
        <v>946</v>
      </c>
      <c r="B291" s="239" t="s">
        <v>298</v>
      </c>
      <c r="C291" s="326">
        <v>-6228.09</v>
      </c>
      <c r="D291" s="121">
        <v>-11260.89</v>
      </c>
      <c r="E291" s="121">
        <v>-6228.09</v>
      </c>
      <c r="F291" s="121">
        <v>-62.910000000000004</v>
      </c>
      <c r="G291" s="121">
        <v>-154569.87</v>
      </c>
      <c r="H291" s="121">
        <v>-86366.77</v>
      </c>
      <c r="I291" s="121">
        <v>-144248.02957425232</v>
      </c>
      <c r="J291" s="34">
        <v>-12501.380093675685</v>
      </c>
      <c r="K291" s="34">
        <v>-189594.8695322545</v>
      </c>
      <c r="L291" s="34">
        <v>-72241.450771624033</v>
      </c>
      <c r="M291" s="486">
        <v>203622.59700878945</v>
      </c>
      <c r="N291" s="486">
        <v>-62308.991797516937</v>
      </c>
      <c r="O291" s="251">
        <f>SUM(LisäyksetVähennykset[[#This Row],[Kuntien yhdistymisavustus (-0,99 €/as)]:[TE25: Uudistuksen rahoituksen siirtymäajan porrastus (50 % kustannusperusteinen / 50 % vos-kriteerit)]])</f>
        <v>-541988.74476053403</v>
      </c>
      <c r="P291" s="112"/>
    </row>
    <row r="292" spans="1:16" s="45" customFormat="1">
      <c r="A292" s="239">
        <v>976</v>
      </c>
      <c r="B292" s="239" t="s">
        <v>299</v>
      </c>
      <c r="C292" s="326">
        <v>-3727.35</v>
      </c>
      <c r="D292" s="121">
        <v>-6739.35</v>
      </c>
      <c r="E292" s="121">
        <v>-3727.35</v>
      </c>
      <c r="F292" s="121">
        <v>-37.65</v>
      </c>
      <c r="G292" s="121">
        <v>-92506.05</v>
      </c>
      <c r="H292" s="121">
        <v>-108337.78</v>
      </c>
      <c r="I292" s="121">
        <v>-128595.22302967391</v>
      </c>
      <c r="J292" s="34">
        <v>-88343.383574902109</v>
      </c>
      <c r="K292" s="34">
        <v>-114233.39681695245</v>
      </c>
      <c r="L292" s="34">
        <v>-43234.630766994836</v>
      </c>
      <c r="M292" s="486">
        <v>188751.6755361323</v>
      </c>
      <c r="N292" s="486">
        <v>148991.17690429819</v>
      </c>
      <c r="O292" s="251">
        <f>SUM(LisäyksetVähennykset[[#This Row],[Kuntien yhdistymisavustus (-0,99 €/as)]:[TE25: Uudistuksen rahoituksen siirtymäajan porrastus (50 % kustannusperusteinen / 50 % vos-kriteerit)]])</f>
        <v>-251739.31174809282</v>
      </c>
      <c r="P292" s="112"/>
    </row>
    <row r="293" spans="1:16" s="45" customFormat="1">
      <c r="A293" s="239">
        <v>977</v>
      </c>
      <c r="B293" s="239" t="s">
        <v>300</v>
      </c>
      <c r="C293" s="326">
        <v>-15215.31</v>
      </c>
      <c r="D293" s="121">
        <v>-27510.510000000002</v>
      </c>
      <c r="E293" s="121">
        <v>-15215.31</v>
      </c>
      <c r="F293" s="121">
        <v>-153.69</v>
      </c>
      <c r="G293" s="121">
        <v>-377616.33</v>
      </c>
      <c r="H293" s="121">
        <v>-510612.1</v>
      </c>
      <c r="I293" s="121">
        <v>-578591.02333659504</v>
      </c>
      <c r="J293" s="34">
        <v>-395929.65697771619</v>
      </c>
      <c r="K293" s="34">
        <v>-461185.67516411137</v>
      </c>
      <c r="L293" s="34">
        <v>-176486.86328232233</v>
      </c>
      <c r="M293" s="486">
        <v>478610.95433419303</v>
      </c>
      <c r="N293" s="486">
        <v>-246353.2438658973</v>
      </c>
      <c r="O293" s="251">
        <f>SUM(LisäyksetVähennykset[[#This Row],[Kuntien yhdistymisavustus (-0,99 €/as)]:[TE25: Uudistuksen rahoituksen siirtymäajan porrastus (50 % kustannusperusteinen / 50 % vos-kriteerit)]])</f>
        <v>-2326258.7582924492</v>
      </c>
      <c r="P293" s="112"/>
    </row>
    <row r="294" spans="1:16" s="45" customFormat="1">
      <c r="A294" s="239">
        <v>980</v>
      </c>
      <c r="B294" s="239" t="s">
        <v>301</v>
      </c>
      <c r="C294" s="326">
        <v>-33340.230000000003</v>
      </c>
      <c r="D294" s="121">
        <v>-60281.83</v>
      </c>
      <c r="E294" s="121">
        <v>-33340.230000000003</v>
      </c>
      <c r="F294" s="121">
        <v>-336.77</v>
      </c>
      <c r="G294" s="121">
        <v>-827443.89</v>
      </c>
      <c r="H294" s="121">
        <v>-1071027.58</v>
      </c>
      <c r="I294" s="121">
        <v>329810.92405430385</v>
      </c>
      <c r="J294" s="34">
        <v>-66825.812121545852</v>
      </c>
      <c r="K294" s="34">
        <v>-1013474.5952553645</v>
      </c>
      <c r="L294" s="34">
        <v>-386723.1501567291</v>
      </c>
      <c r="M294" s="486">
        <v>1154053.68178936</v>
      </c>
      <c r="N294" s="486">
        <v>-260940.92977513419</v>
      </c>
      <c r="O294" s="251">
        <f>SUM(LisäyksetVähennykset[[#This Row],[Kuntien yhdistymisavustus (-0,99 €/as)]:[TE25: Uudistuksen rahoituksen siirtymäajan porrastus (50 % kustannusperusteinen / 50 % vos-kriteerit)]])</f>
        <v>-2269870.4114651098</v>
      </c>
      <c r="P294" s="112"/>
    </row>
    <row r="295" spans="1:16" s="45" customFormat="1">
      <c r="A295" s="239">
        <v>981</v>
      </c>
      <c r="B295" s="239" t="s">
        <v>302</v>
      </c>
      <c r="C295" s="326">
        <v>-2184.9299999999998</v>
      </c>
      <c r="D295" s="121">
        <v>-3950.53</v>
      </c>
      <c r="E295" s="121">
        <v>-2184.9299999999998</v>
      </c>
      <c r="F295" s="121">
        <v>-22.07</v>
      </c>
      <c r="G295" s="121">
        <v>-54225.99</v>
      </c>
      <c r="H295" s="121">
        <v>-61330.42</v>
      </c>
      <c r="I295" s="121">
        <v>660369.77079480351</v>
      </c>
      <c r="J295" s="34">
        <v>286299.84681650228</v>
      </c>
      <c r="K295" s="34">
        <v>-67460.429957635337</v>
      </c>
      <c r="L295" s="34">
        <v>-25343.646773640798</v>
      </c>
      <c r="M295" s="486">
        <v>135696.79524591466</v>
      </c>
      <c r="N295" s="486">
        <v>-5084.6666184247297</v>
      </c>
      <c r="O295" s="251">
        <f>SUM(LisäyksetVähennykset[[#This Row],[Kuntien yhdistymisavustus (-0,99 €/as)]:[TE25: Uudistuksen rahoituksen siirtymäajan porrastus (50 % kustannusperusteinen / 50 % vos-kriteerit)]])</f>
        <v>860578.7995075197</v>
      </c>
      <c r="P295" s="112"/>
    </row>
    <row r="296" spans="1:16" s="45" customFormat="1">
      <c r="A296" s="239">
        <v>989</v>
      </c>
      <c r="B296" s="239" t="s">
        <v>303</v>
      </c>
      <c r="C296" s="326">
        <v>-5262.84</v>
      </c>
      <c r="D296" s="121">
        <v>-9515.64</v>
      </c>
      <c r="E296" s="121">
        <v>-5262.84</v>
      </c>
      <c r="F296" s="121">
        <v>-53.160000000000004</v>
      </c>
      <c r="G296" s="121">
        <v>-130614.12</v>
      </c>
      <c r="H296" s="121">
        <v>-165705.98000000001</v>
      </c>
      <c r="I296" s="121">
        <v>-956794.31203666155</v>
      </c>
      <c r="J296" s="34">
        <v>-454452.82740537095</v>
      </c>
      <c r="K296" s="34">
        <v>-163026.85934330648</v>
      </c>
      <c r="L296" s="34">
        <v>-61045.231648697089</v>
      </c>
      <c r="M296" s="486">
        <v>205006.83251165878</v>
      </c>
      <c r="N296" s="486">
        <v>2659.7419009274454</v>
      </c>
      <c r="O296" s="251">
        <f>SUM(LisäyksetVähennykset[[#This Row],[Kuntien yhdistymisavustus (-0,99 €/as)]:[TE25: Uudistuksen rahoituksen siirtymäajan porrastus (50 % kustannusperusteinen / 50 % vos-kriteerit)]])</f>
        <v>-1744067.2360214498</v>
      </c>
      <c r="P296" s="112"/>
    </row>
    <row r="297" spans="1:16" s="45" customFormat="1">
      <c r="A297" s="239">
        <v>992</v>
      </c>
      <c r="B297" s="239" t="s">
        <v>304</v>
      </c>
      <c r="C297" s="326">
        <v>-17791.29</v>
      </c>
      <c r="D297" s="121">
        <v>-32168.09</v>
      </c>
      <c r="E297" s="121">
        <v>-17791.29</v>
      </c>
      <c r="F297" s="121">
        <v>-179.71</v>
      </c>
      <c r="G297" s="121">
        <v>-441547.47000000003</v>
      </c>
      <c r="H297" s="121">
        <v>-967558.37</v>
      </c>
      <c r="I297" s="121">
        <v>-220009.76574919853</v>
      </c>
      <c r="J297" s="34">
        <v>305489.54126145935</v>
      </c>
      <c r="K297" s="34">
        <v>-546438.52965237026</v>
      </c>
      <c r="L297" s="34">
        <v>-206366.41421345662</v>
      </c>
      <c r="M297" s="486">
        <v>1316622.2153600371</v>
      </c>
      <c r="N297" s="486">
        <v>481455.57318037958</v>
      </c>
      <c r="O297" s="251">
        <f>SUM(LisäyksetVähennykset[[#This Row],[Kuntien yhdistymisavustus (-0,99 €/as)]:[TE25: Uudistuksen rahoituksen siirtymäajan porrastus (50 % kustannusperusteinen / 50 % vos-kriteerit)]])</f>
        <v>-346283.59981314954</v>
      </c>
      <c r="P297" s="112"/>
    </row>
    <row r="313" spans="1:15">
      <c r="A313" s="244"/>
      <c r="B313" s="245"/>
      <c r="C313" s="245"/>
      <c r="D313" s="41"/>
      <c r="E313" s="41"/>
      <c r="F313" s="41"/>
      <c r="G313" s="38"/>
      <c r="H313" s="38"/>
      <c r="I313" s="41"/>
      <c r="J313" s="41"/>
      <c r="K313" s="41"/>
      <c r="L313" s="41"/>
      <c r="M313" s="41"/>
      <c r="N313" s="41"/>
      <c r="O313" s="249"/>
    </row>
    <row r="314" spans="1:15">
      <c r="A314" s="244"/>
      <c r="B314" s="245"/>
      <c r="C314" s="245"/>
      <c r="D314" s="41"/>
      <c r="E314" s="41"/>
      <c r="F314" s="41"/>
      <c r="G314" s="38"/>
      <c r="H314" s="38"/>
      <c r="I314" s="41"/>
      <c r="J314" s="41"/>
      <c r="K314" s="41"/>
      <c r="L314" s="41"/>
      <c r="M314" s="41"/>
      <c r="N314" s="41"/>
      <c r="O314" s="249"/>
    </row>
    <row r="315" spans="1:15">
      <c r="A315" s="244"/>
      <c r="B315" s="245"/>
      <c r="C315" s="245"/>
      <c r="D315" s="41"/>
      <c r="E315" s="41"/>
      <c r="F315" s="41"/>
      <c r="G315" s="38"/>
      <c r="H315" s="38"/>
      <c r="I315" s="41"/>
      <c r="J315" s="41"/>
      <c r="K315" s="41"/>
      <c r="L315" s="41"/>
      <c r="M315" s="41"/>
      <c r="N315" s="41"/>
      <c r="O315" s="249"/>
    </row>
    <row r="316" spans="1:15">
      <c r="A316" s="244"/>
      <c r="B316" s="245"/>
      <c r="C316" s="245"/>
      <c r="D316" s="41"/>
      <c r="E316" s="41"/>
      <c r="F316" s="41"/>
      <c r="G316" s="38"/>
      <c r="H316" s="38"/>
      <c r="I316" s="41"/>
      <c r="J316" s="41"/>
      <c r="K316" s="41"/>
      <c r="L316" s="41"/>
      <c r="M316" s="41"/>
      <c r="N316" s="41"/>
      <c r="O316" s="249"/>
    </row>
    <row r="317" spans="1:15">
      <c r="A317" s="244"/>
      <c r="B317" s="245"/>
      <c r="C317" s="245"/>
      <c r="D317" s="41"/>
      <c r="E317" s="41"/>
      <c r="F317" s="41"/>
      <c r="G317" s="38"/>
      <c r="H317" s="38"/>
      <c r="I317" s="41"/>
      <c r="J317" s="41"/>
      <c r="K317" s="41"/>
      <c r="L317" s="41"/>
      <c r="M317" s="41"/>
      <c r="N317" s="41"/>
      <c r="O317" s="249"/>
    </row>
    <row r="318" spans="1:15">
      <c r="A318" s="244"/>
      <c r="B318" s="245"/>
      <c r="C318" s="245"/>
      <c r="D318" s="41"/>
      <c r="E318" s="41"/>
      <c r="F318" s="41"/>
      <c r="G318" s="38"/>
      <c r="H318" s="38"/>
      <c r="I318" s="41"/>
      <c r="J318" s="41"/>
      <c r="K318" s="41"/>
      <c r="L318" s="41"/>
      <c r="M318" s="41"/>
      <c r="N318" s="41"/>
      <c r="O318" s="249"/>
    </row>
  </sheetData>
  <pageMargins left="0.31496062992125984" right="0.31496062992125984" top="0.55118110236220474" bottom="0.55118110236220474" header="0.31496062992125984" footer="0.31496062992125984"/>
  <pageSetup paperSize="9" scale="60" orientation="landscape"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4"/>
  <sheetViews>
    <sheetView zoomScale="90" zoomScaleNormal="90" workbookViewId="0">
      <pane xSplit="2" ySplit="11" topLeftCell="C12" activePane="bottomRight" state="frozen"/>
      <selection activeCell="G29" sqref="G29"/>
      <selection pane="topRight" activeCell="G29" sqref="G29"/>
      <selection pane="bottomLeft" activeCell="G29" sqref="G29"/>
      <selection pane="bottomRight"/>
    </sheetView>
  </sheetViews>
  <sheetFormatPr defaultRowHeight="15"/>
  <cols>
    <col min="1" max="1" width="18.75" style="20" customWidth="1"/>
    <col min="2" max="2" width="14.75" style="254" customWidth="1"/>
    <col min="3" max="3" width="14.625" style="255" customWidth="1"/>
    <col min="4" max="4" width="19.125" style="14" customWidth="1"/>
    <col min="5" max="5" width="20.125" style="14" bestFit="1" customWidth="1"/>
    <col min="6" max="6" width="18.875" style="14" bestFit="1" customWidth="1"/>
    <col min="7" max="7" width="16.375" style="269" customWidth="1"/>
    <col min="8" max="8" width="14.125" style="15" customWidth="1"/>
    <col min="9" max="9" width="18.625" style="15" customWidth="1"/>
    <col min="10" max="10" width="14.625" style="15" customWidth="1"/>
    <col min="11" max="11" width="23.5" style="15" customWidth="1"/>
    <col min="12" max="12" width="19.625" style="34" customWidth="1"/>
    <col min="13" max="13" width="11.625" style="280" bestFit="1" customWidth="1"/>
    <col min="14" max="14" width="13" style="281" bestFit="1" customWidth="1"/>
    <col min="16" max="16" width="11.125" style="120" bestFit="1" customWidth="1"/>
    <col min="17" max="17" width="13" style="119" bestFit="1" customWidth="1"/>
    <col min="18" max="18" width="10.875" style="119" bestFit="1" customWidth="1"/>
    <col min="19" max="19" width="12" style="119" bestFit="1" customWidth="1"/>
    <col min="20" max="20" width="11.125" style="115" bestFit="1" customWidth="1"/>
  </cols>
  <sheetData>
    <row r="1" spans="1:20" ht="23.25">
      <c r="A1" s="315" t="s">
        <v>881</v>
      </c>
      <c r="F1" s="321"/>
      <c r="G1" s="256"/>
      <c r="H1" s="14"/>
      <c r="P1"/>
      <c r="Q1" s="115"/>
      <c r="R1" s="115"/>
      <c r="S1" s="115"/>
    </row>
    <row r="2" spans="1:20">
      <c r="A2" s="253" t="s">
        <v>367</v>
      </c>
      <c r="G2" s="256"/>
      <c r="H2" s="14"/>
      <c r="K2" s="257"/>
      <c r="P2"/>
      <c r="Q2" s="115"/>
      <c r="R2" s="115"/>
      <c r="S2" s="115"/>
    </row>
    <row r="3" spans="1:20">
      <c r="A3" s="20" t="s">
        <v>878</v>
      </c>
      <c r="F3" s="258"/>
      <c r="G3" s="256"/>
      <c r="H3" s="259"/>
      <c r="P3"/>
      <c r="Q3" s="115"/>
      <c r="R3" s="115"/>
      <c r="S3" s="115"/>
    </row>
    <row r="4" spans="1:20">
      <c r="A4" s="20" t="s">
        <v>879</v>
      </c>
      <c r="E4" s="195"/>
      <c r="G4" s="256"/>
      <c r="H4" s="14"/>
      <c r="M4" s="282"/>
      <c r="P4"/>
      <c r="Q4" s="115"/>
      <c r="R4" s="115"/>
      <c r="S4" s="115"/>
    </row>
    <row r="5" spans="1:20">
      <c r="A5" s="272" t="s">
        <v>880</v>
      </c>
      <c r="G5" s="256"/>
      <c r="H5" s="14"/>
      <c r="P5"/>
      <c r="Q5" s="115"/>
      <c r="R5" s="115"/>
      <c r="S5" s="115"/>
    </row>
    <row r="6" spans="1:20">
      <c r="A6" s="20" t="s">
        <v>376</v>
      </c>
      <c r="G6" s="256"/>
      <c r="H6" s="14"/>
      <c r="P6"/>
      <c r="Q6" s="115"/>
      <c r="R6" s="115"/>
      <c r="S6" s="115"/>
    </row>
    <row r="7" spans="1:20">
      <c r="A7" s="359" t="s">
        <v>740</v>
      </c>
      <c r="B7" s="361">
        <v>0.9</v>
      </c>
      <c r="D7" s="260"/>
      <c r="G7" s="256"/>
      <c r="H7" s="14"/>
      <c r="I7" s="261"/>
      <c r="L7" s="123"/>
      <c r="P7"/>
      <c r="Q7" s="115"/>
      <c r="R7" s="115"/>
      <c r="S7" s="115"/>
    </row>
    <row r="8" spans="1:20">
      <c r="A8" s="360" t="s">
        <v>741</v>
      </c>
      <c r="B8" s="362">
        <v>0.1</v>
      </c>
      <c r="F8" s="262"/>
      <c r="G8" s="256"/>
      <c r="H8" s="14"/>
      <c r="I8" s="24"/>
      <c r="J8" s="263"/>
      <c r="L8" s="264"/>
      <c r="N8" s="283"/>
      <c r="P8"/>
      <c r="Q8" s="115"/>
      <c r="R8" s="115"/>
      <c r="S8" s="115"/>
    </row>
    <row r="9" spans="1:20" ht="36.6" customHeight="1">
      <c r="A9" s="290"/>
      <c r="B9" s="296">
        <v>293</v>
      </c>
      <c r="C9" s="291" t="s">
        <v>369</v>
      </c>
      <c r="D9" s="292"/>
      <c r="E9" s="292"/>
      <c r="F9" s="292"/>
      <c r="G9" s="293" t="s">
        <v>377</v>
      </c>
      <c r="H9" s="294"/>
      <c r="I9" s="294"/>
      <c r="J9" s="294"/>
      <c r="K9" s="295"/>
      <c r="L9" s="294"/>
      <c r="M9" s="288"/>
      <c r="N9" s="289"/>
      <c r="P9"/>
      <c r="Q9" s="115"/>
      <c r="R9" s="115"/>
      <c r="S9" s="115"/>
    </row>
    <row r="10" spans="1:20" s="278" customFormat="1" ht="42.75">
      <c r="A10" s="273" t="s">
        <v>669</v>
      </c>
      <c r="B10" s="274" t="s">
        <v>3</v>
      </c>
      <c r="C10" s="275" t="s">
        <v>882</v>
      </c>
      <c r="D10" s="276" t="s">
        <v>883</v>
      </c>
      <c r="E10" s="277" t="s">
        <v>697</v>
      </c>
      <c r="F10" s="277" t="s">
        <v>698</v>
      </c>
      <c r="G10" s="284" t="s">
        <v>711</v>
      </c>
      <c r="H10" s="285" t="s">
        <v>710</v>
      </c>
      <c r="I10" s="285" t="s">
        <v>739</v>
      </c>
      <c r="J10" s="285" t="s">
        <v>699</v>
      </c>
      <c r="K10" s="286" t="s">
        <v>700</v>
      </c>
      <c r="L10" s="287" t="s">
        <v>836</v>
      </c>
      <c r="M10" s="353" t="s">
        <v>701</v>
      </c>
      <c r="N10" s="354" t="s">
        <v>702</v>
      </c>
      <c r="Q10" s="279"/>
      <c r="R10" s="279"/>
      <c r="S10" s="279"/>
      <c r="T10" s="279"/>
    </row>
    <row r="11" spans="1:20">
      <c r="A11" s="253"/>
      <c r="B11" s="254" t="s">
        <v>378</v>
      </c>
      <c r="C11" s="28">
        <f>SUM(C12:C304)</f>
        <v>5524338</v>
      </c>
      <c r="D11" s="27">
        <v>7.370000000000001</v>
      </c>
      <c r="E11" s="28">
        <f t="shared" ref="E11:J11" si="0">SUM(E12:E304)</f>
        <v>8922044701.8175755</v>
      </c>
      <c r="F11" s="358">
        <f t="shared" si="0"/>
        <v>121040923788.63446</v>
      </c>
      <c r="G11" s="28">
        <f t="shared" si="0"/>
        <v>8920716083.2223549</v>
      </c>
      <c r="H11" s="28">
        <f t="shared" si="0"/>
        <v>1844206215.0523641</v>
      </c>
      <c r="I11" s="28">
        <f t="shared" si="0"/>
        <v>1079052635.3211503</v>
      </c>
      <c r="J11" s="28">
        <f t="shared" si="0"/>
        <v>11843974933.595875</v>
      </c>
      <c r="K11" s="265">
        <f>ROUND(Tasaus[[#This Row],[Laskennallinen verotulo yhteensä, €]]/Tasaus[[#This Row],[Asukasluku 31.12.2022]],2)</f>
        <v>2143.96</v>
      </c>
      <c r="L11" s="123">
        <v>0</v>
      </c>
      <c r="M11" s="367">
        <f>Tasaus[[#This Row],[Tasaus, €]]/Tasaus[[#This Row],[Asukasluku 31.12.2022]]</f>
        <v>148.59902240290131</v>
      </c>
      <c r="N11" s="368">
        <f>SUM(N12:N304)</f>
        <v>820911226.22319901</v>
      </c>
      <c r="P11"/>
      <c r="Q11" s="115"/>
      <c r="R11" s="115"/>
      <c r="S11" s="115"/>
    </row>
    <row r="12" spans="1:20">
      <c r="A12" s="266">
        <v>5</v>
      </c>
      <c r="B12" s="13" t="s">
        <v>379</v>
      </c>
      <c r="C12" s="267">
        <v>9181</v>
      </c>
      <c r="D12" s="268">
        <v>9.11</v>
      </c>
      <c r="E12" s="14">
        <v>12632046.857137678</v>
      </c>
      <c r="F12" s="14">
        <f>Tasaus[[#This Row],[Kunnallisvero (maksuunpantu), €]]*100/Tasaus[[#This Row],[Tuloveroprosentti 2023]]</f>
        <v>138661326.64256507</v>
      </c>
      <c r="G12" s="269">
        <f>Tasaus[[#This Row],[Verotettava tulo (kunnallisvero), €]]*($D$11/100)</f>
        <v>10219339.773557048</v>
      </c>
      <c r="H12" s="14">
        <v>2113962.1309611253</v>
      </c>
      <c r="I12" s="15">
        <v>1407981.0069499998</v>
      </c>
      <c r="J12" s="15">
        <f>SUM(Tasaus[[#This Row],[Laskennallinen kunnallisvero, €]:[Laskennallinen kiinteistövero, €]])</f>
        <v>13741282.911468174</v>
      </c>
      <c r="K12" s="15">
        <f>Tasaus[[#This Row],[Laskennallinen verotulo yhteensä, €]]/Tasaus[[#This Row],[Asukasluku 31.12.2022]]</f>
        <v>1496.7087366809906</v>
      </c>
      <c r="L12" s="34">
        <f>$K$11-Tasaus[[#This Row],[Laskennallinen verotulo yhteensä, €/asukas (=tasausraja)]]</f>
        <v>647.25126331900947</v>
      </c>
      <c r="M12" s="369">
        <f>IF(Tasaus[[#This Row],[Erotus = tasausraja - laskennallinen verotulo, €/asukas]]&gt;0,(Tasaus[[#This Row],[Erotus = tasausraja - laskennallinen verotulo, €/asukas]]*$B$7),(Tasaus[[#This Row],[Erotus = tasausraja - laskennallinen verotulo, €/asukas]]*$B$8))</f>
        <v>582.52613698710854</v>
      </c>
      <c r="N12" s="370">
        <f>Tasaus[[#This Row],[Tasaus,  €/asukas]]*Tasaus[[#This Row],[Asukasluku 31.12.2022]]</f>
        <v>5348172.4636786431</v>
      </c>
      <c r="P12" s="116"/>
      <c r="Q12" s="117"/>
      <c r="R12" s="118"/>
    </row>
    <row r="13" spans="1:20">
      <c r="A13" s="266">
        <v>9</v>
      </c>
      <c r="B13" s="13" t="s">
        <v>380</v>
      </c>
      <c r="C13" s="267">
        <v>2471</v>
      </c>
      <c r="D13" s="268">
        <v>9.36</v>
      </c>
      <c r="E13" s="14">
        <v>3638009.2616131599</v>
      </c>
      <c r="F13" s="14">
        <f>Tasaus[[#This Row],[Kunnallisvero (maksuunpantu), €]]*100/Tasaus[[#This Row],[Tuloveroprosentti 2023]]</f>
        <v>38867620.316379912</v>
      </c>
      <c r="G13" s="269">
        <f>Tasaus[[#This Row],[Verotettava tulo (kunnallisvero), €]]*($D$11/100)</f>
        <v>2864543.6173172002</v>
      </c>
      <c r="H13" s="14">
        <v>220764.76222651635</v>
      </c>
      <c r="I13" s="15">
        <v>216978.75865</v>
      </c>
      <c r="J13" s="15">
        <f>SUM(Tasaus[[#This Row],[Laskennallinen kunnallisvero, €]:[Laskennallinen kiinteistövero, €]])</f>
        <v>3302287.1381937168</v>
      </c>
      <c r="K13" s="15">
        <f>Tasaus[[#This Row],[Laskennallinen verotulo yhteensä, €]]/Tasaus[[#This Row],[Asukasluku 31.12.2022]]</f>
        <v>1336.4172959100431</v>
      </c>
      <c r="L13" s="34">
        <f>$K$11-Tasaus[[#This Row],[Laskennallinen verotulo yhteensä, €/asukas (=tasausraja)]]</f>
        <v>807.54270408995694</v>
      </c>
      <c r="M13" s="369">
        <f>IF(Tasaus[[#This Row],[Erotus = tasausraja - laskennallinen verotulo, €/asukas]]&gt;0,(Tasaus[[#This Row],[Erotus = tasausraja - laskennallinen verotulo, €/asukas]]*$B$7),(Tasaus[[#This Row],[Erotus = tasausraja - laskennallinen verotulo, €/asukas]]*$B$8))</f>
        <v>726.78843368096125</v>
      </c>
      <c r="N13" s="370">
        <f>Tasaus[[#This Row],[Tasaus,  €/asukas]]*Tasaus[[#This Row],[Asukasluku 31.12.2022]]</f>
        <v>1795894.2196256553</v>
      </c>
      <c r="P13" s="116"/>
      <c r="Q13" s="117"/>
      <c r="R13" s="118"/>
    </row>
    <row r="14" spans="1:20">
      <c r="A14" s="266">
        <v>10</v>
      </c>
      <c r="B14" s="13" t="s">
        <v>381</v>
      </c>
      <c r="C14" s="267">
        <v>11068</v>
      </c>
      <c r="D14" s="268">
        <v>8.61</v>
      </c>
      <c r="E14" s="14">
        <v>14248538.40907504</v>
      </c>
      <c r="F14" s="14">
        <f>Tasaus[[#This Row],[Kunnallisvero (maksuunpantu), €]]*100/Tasaus[[#This Row],[Tuloveroprosentti 2023]]</f>
        <v>165488250.97648132</v>
      </c>
      <c r="G14" s="269">
        <f>Tasaus[[#This Row],[Verotettava tulo (kunnallisvero), €]]*($D$11/100)</f>
        <v>12196484.096966676</v>
      </c>
      <c r="H14" s="14">
        <v>2233625.4798516342</v>
      </c>
      <c r="I14" s="15">
        <v>1800126.4094999998</v>
      </c>
      <c r="J14" s="15">
        <f>SUM(Tasaus[[#This Row],[Laskennallinen kunnallisvero, €]:[Laskennallinen kiinteistövero, €]])</f>
        <v>16230235.986318309</v>
      </c>
      <c r="K14" s="15">
        <f>Tasaus[[#This Row],[Laskennallinen verotulo yhteensä, €]]/Tasaus[[#This Row],[Asukasluku 31.12.2022]]</f>
        <v>1466.4109131115206</v>
      </c>
      <c r="L14" s="34">
        <f>$K$11-Tasaus[[#This Row],[Laskennallinen verotulo yhteensä, €/asukas (=tasausraja)]]</f>
        <v>677.54908688847945</v>
      </c>
      <c r="M14" s="369">
        <f>IF(Tasaus[[#This Row],[Erotus = tasausraja - laskennallinen verotulo, €/asukas]]&gt;0,(Tasaus[[#This Row],[Erotus = tasausraja - laskennallinen verotulo, €/asukas]]*$B$7),(Tasaus[[#This Row],[Erotus = tasausraja - laskennallinen verotulo, €/asukas]]*$B$8))</f>
        <v>609.79417819963157</v>
      </c>
      <c r="N14" s="370">
        <f>Tasaus[[#This Row],[Tasaus,  €/asukas]]*Tasaus[[#This Row],[Asukasluku 31.12.2022]]</f>
        <v>6749201.964313522</v>
      </c>
      <c r="P14" s="116"/>
      <c r="Q14" s="117"/>
      <c r="R14" s="118"/>
    </row>
    <row r="15" spans="1:20">
      <c r="A15" s="266">
        <v>16</v>
      </c>
      <c r="B15" s="13" t="s">
        <v>382</v>
      </c>
      <c r="C15" s="267">
        <v>7974</v>
      </c>
      <c r="D15" s="268">
        <v>8.11</v>
      </c>
      <c r="E15" s="14">
        <v>12095414.296226868</v>
      </c>
      <c r="F15" s="14">
        <f>Tasaus[[#This Row],[Kunnallisvero (maksuunpantu), €]]*100/Tasaus[[#This Row],[Tuloveroprosentti 2023]]</f>
        <v>149141976.52560875</v>
      </c>
      <c r="G15" s="269">
        <f>Tasaus[[#This Row],[Verotettava tulo (kunnallisvero), €]]*($D$11/100)</f>
        <v>10991763.669937367</v>
      </c>
      <c r="H15" s="14">
        <v>1396096.3784034031</v>
      </c>
      <c r="I15" s="15">
        <v>1824662.5091500003</v>
      </c>
      <c r="J15" s="15">
        <f>SUM(Tasaus[[#This Row],[Laskennallinen kunnallisvero, €]:[Laskennallinen kiinteistövero, €]])</f>
        <v>14212522.55749077</v>
      </c>
      <c r="K15" s="15">
        <f>Tasaus[[#This Row],[Laskennallinen verotulo yhteensä, €]]/Tasaus[[#This Row],[Asukasluku 31.12.2022]]</f>
        <v>1782.3579831315237</v>
      </c>
      <c r="L15" s="34">
        <f>$K$11-Tasaus[[#This Row],[Laskennallinen verotulo yhteensä, €/asukas (=tasausraja)]]</f>
        <v>361.60201686847631</v>
      </c>
      <c r="M15" s="369">
        <f>IF(Tasaus[[#This Row],[Erotus = tasausraja - laskennallinen verotulo, €/asukas]]&gt;0,(Tasaus[[#This Row],[Erotus = tasausraja - laskennallinen verotulo, €/asukas]]*$B$7),(Tasaus[[#This Row],[Erotus = tasausraja - laskennallinen verotulo, €/asukas]]*$B$8))</f>
        <v>325.44181518162867</v>
      </c>
      <c r="N15" s="370">
        <f>Tasaus[[#This Row],[Tasaus,  €/asukas]]*Tasaus[[#This Row],[Asukasluku 31.12.2022]]</f>
        <v>2595073.034258307</v>
      </c>
      <c r="P15" s="116"/>
      <c r="Q15" s="117"/>
      <c r="R15" s="118"/>
    </row>
    <row r="16" spans="1:20">
      <c r="A16" s="266">
        <v>18</v>
      </c>
      <c r="B16" s="13" t="s">
        <v>383</v>
      </c>
      <c r="C16" s="267">
        <v>4795</v>
      </c>
      <c r="D16" s="268">
        <v>8.86</v>
      </c>
      <c r="E16" s="14">
        <v>8845178.7400488388</v>
      </c>
      <c r="F16" s="14">
        <f>Tasaus[[#This Row],[Kunnallisvero (maksuunpantu), €]]*100/Tasaus[[#This Row],[Tuloveroprosentti 2023]]</f>
        <v>99832717.156307444</v>
      </c>
      <c r="G16" s="269">
        <f>Tasaus[[#This Row],[Verotettava tulo (kunnallisvero), €]]*($D$11/100)</f>
        <v>7357671.2544198604</v>
      </c>
      <c r="H16" s="14">
        <v>1036351.3137074331</v>
      </c>
      <c r="I16" s="15">
        <v>548332.48204999999</v>
      </c>
      <c r="J16" s="15">
        <f>SUM(Tasaus[[#This Row],[Laskennallinen kunnallisvero, €]:[Laskennallinen kiinteistövero, €]])</f>
        <v>8942355.0501772929</v>
      </c>
      <c r="K16" s="15">
        <f>Tasaus[[#This Row],[Laskennallinen verotulo yhteensä, €]]/Tasaus[[#This Row],[Asukasluku 31.12.2022]]</f>
        <v>1864.9332742809786</v>
      </c>
      <c r="L16" s="34">
        <f>$K$11-Tasaus[[#This Row],[Laskennallinen verotulo yhteensä, €/asukas (=tasausraja)]]</f>
        <v>279.02672571902144</v>
      </c>
      <c r="M16" s="369">
        <f>IF(Tasaus[[#This Row],[Erotus = tasausraja - laskennallinen verotulo, €/asukas]]&gt;0,(Tasaus[[#This Row],[Erotus = tasausraja - laskennallinen verotulo, €/asukas]]*$B$7),(Tasaus[[#This Row],[Erotus = tasausraja - laskennallinen verotulo, €/asukas]]*$B$8))</f>
        <v>251.1240531471193</v>
      </c>
      <c r="N16" s="370">
        <f>Tasaus[[#This Row],[Tasaus,  €/asukas]]*Tasaus[[#This Row],[Asukasluku 31.12.2022]]</f>
        <v>1204139.8348404369</v>
      </c>
      <c r="P16" s="116"/>
      <c r="Q16" s="117"/>
      <c r="R16" s="118"/>
    </row>
    <row r="17" spans="1:18">
      <c r="A17" s="266">
        <v>19</v>
      </c>
      <c r="B17" s="13" t="s">
        <v>384</v>
      </c>
      <c r="C17" s="267">
        <v>3956</v>
      </c>
      <c r="D17" s="268">
        <v>8.86</v>
      </c>
      <c r="E17" s="14">
        <v>6950118.7959470395</v>
      </c>
      <c r="F17" s="14">
        <f>Tasaus[[#This Row],[Kunnallisvero (maksuunpantu), €]]*100/Tasaus[[#This Row],[Tuloveroprosentti 2023]]</f>
        <v>78443778.735293895</v>
      </c>
      <c r="G17" s="269">
        <f>Tasaus[[#This Row],[Verotettava tulo (kunnallisvero), €]]*($D$11/100)</f>
        <v>5781306.4927911609</v>
      </c>
      <c r="H17" s="14">
        <v>572397.34820309258</v>
      </c>
      <c r="I17" s="15">
        <v>415989.77850000001</v>
      </c>
      <c r="J17" s="15">
        <f>SUM(Tasaus[[#This Row],[Laskennallinen kunnallisvero, €]:[Laskennallinen kiinteistövero, €]])</f>
        <v>6769693.6194942538</v>
      </c>
      <c r="K17" s="15">
        <f>Tasaus[[#This Row],[Laskennallinen verotulo yhteensä, €]]/Tasaus[[#This Row],[Asukasluku 31.12.2022]]</f>
        <v>1711.2471232290834</v>
      </c>
      <c r="L17" s="34">
        <f>$K$11-Tasaus[[#This Row],[Laskennallinen verotulo yhteensä, €/asukas (=tasausraja)]]</f>
        <v>432.71287677091664</v>
      </c>
      <c r="M17" s="369">
        <f>IF(Tasaus[[#This Row],[Erotus = tasausraja - laskennallinen verotulo, €/asukas]]&gt;0,(Tasaus[[#This Row],[Erotus = tasausraja - laskennallinen verotulo, €/asukas]]*$B$7),(Tasaus[[#This Row],[Erotus = tasausraja - laskennallinen verotulo, €/asukas]]*$B$8))</f>
        <v>389.44158909382497</v>
      </c>
      <c r="N17" s="370">
        <f>Tasaus[[#This Row],[Tasaus,  €/asukas]]*Tasaus[[#This Row],[Asukasluku 31.12.2022]]</f>
        <v>1540630.9264551715</v>
      </c>
      <c r="P17" s="116"/>
      <c r="Q17" s="117"/>
      <c r="R17" s="118"/>
    </row>
    <row r="18" spans="1:18">
      <c r="A18" s="266">
        <v>20</v>
      </c>
      <c r="B18" s="13" t="s">
        <v>18</v>
      </c>
      <c r="C18" s="267">
        <v>16142</v>
      </c>
      <c r="D18" s="268">
        <v>9.61</v>
      </c>
      <c r="E18" s="14">
        <v>29903016.190406729</v>
      </c>
      <c r="F18" s="14">
        <f>Tasaus[[#This Row],[Kunnallisvero (maksuunpantu), €]]*100/Tasaus[[#This Row],[Tuloveroprosentti 2023]]</f>
        <v>311165621.12806171</v>
      </c>
      <c r="G18" s="269">
        <f>Tasaus[[#This Row],[Verotettava tulo (kunnallisvero), €]]*($D$11/100)</f>
        <v>22932906.277138151</v>
      </c>
      <c r="H18" s="14">
        <v>1835040.6945841755</v>
      </c>
      <c r="I18" s="15">
        <v>1748400.6364500001</v>
      </c>
      <c r="J18" s="15">
        <f>SUM(Tasaus[[#This Row],[Laskennallinen kunnallisvero, €]:[Laskennallinen kiinteistövero, €]])</f>
        <v>26516347.608172327</v>
      </c>
      <c r="K18" s="15">
        <f>Tasaus[[#This Row],[Laskennallinen verotulo yhteensä, €]]/Tasaus[[#This Row],[Asukasluku 31.12.2022]]</f>
        <v>1642.6928266740383</v>
      </c>
      <c r="L18" s="34">
        <f>$K$11-Tasaus[[#This Row],[Laskennallinen verotulo yhteensä, €/asukas (=tasausraja)]]</f>
        <v>501.26717332596172</v>
      </c>
      <c r="M18" s="369">
        <f>IF(Tasaus[[#This Row],[Erotus = tasausraja - laskennallinen verotulo, €/asukas]]&gt;0,(Tasaus[[#This Row],[Erotus = tasausraja - laskennallinen verotulo, €/asukas]]*$B$7),(Tasaus[[#This Row],[Erotus = tasausraja - laskennallinen verotulo, €/asukas]]*$B$8))</f>
        <v>451.14045599336555</v>
      </c>
      <c r="N18" s="370">
        <f>Tasaus[[#This Row],[Tasaus,  €/asukas]]*Tasaus[[#This Row],[Asukasluku 31.12.2022]]</f>
        <v>7282309.2406449066</v>
      </c>
      <c r="P18" s="116"/>
      <c r="Q18" s="117"/>
      <c r="R18" s="118"/>
    </row>
    <row r="19" spans="1:18">
      <c r="A19" s="266">
        <v>46</v>
      </c>
      <c r="B19" s="13" t="s">
        <v>385</v>
      </c>
      <c r="C19" s="267">
        <v>1342</v>
      </c>
      <c r="D19" s="268">
        <v>8.36</v>
      </c>
      <c r="E19" s="14">
        <v>1629679.2903472199</v>
      </c>
      <c r="F19" s="14">
        <f>Tasaus[[#This Row],[Kunnallisvero (maksuunpantu), €]]*100/Tasaus[[#This Row],[Tuloveroprosentti 2023]]</f>
        <v>19493771.415636603</v>
      </c>
      <c r="G19" s="269">
        <f>Tasaus[[#This Row],[Verotettava tulo (kunnallisvero), €]]*($D$11/100)</f>
        <v>1436690.9533324179</v>
      </c>
      <c r="H19" s="14">
        <v>483478.0234412353</v>
      </c>
      <c r="I19" s="15">
        <v>271825.49109999998</v>
      </c>
      <c r="J19" s="15">
        <f>SUM(Tasaus[[#This Row],[Laskennallinen kunnallisvero, €]:[Laskennallinen kiinteistövero, €]])</f>
        <v>2191994.4678736534</v>
      </c>
      <c r="K19" s="15">
        <f>Tasaus[[#This Row],[Laskennallinen verotulo yhteensä, €]]/Tasaus[[#This Row],[Asukasluku 31.12.2022]]</f>
        <v>1633.3788881323796</v>
      </c>
      <c r="L19" s="34">
        <f>$K$11-Tasaus[[#This Row],[Laskennallinen verotulo yhteensä, €/asukas (=tasausraja)]]</f>
        <v>510.58111186762039</v>
      </c>
      <c r="M19" s="369">
        <f>IF(Tasaus[[#This Row],[Erotus = tasausraja - laskennallinen verotulo, €/asukas]]&gt;0,(Tasaus[[#This Row],[Erotus = tasausraja - laskennallinen verotulo, €/asukas]]*$B$7),(Tasaus[[#This Row],[Erotus = tasausraja - laskennallinen verotulo, €/asukas]]*$B$8))</f>
        <v>459.52300068085839</v>
      </c>
      <c r="N19" s="370">
        <f>Tasaus[[#This Row],[Tasaus,  €/asukas]]*Tasaus[[#This Row],[Asukasluku 31.12.2022]]</f>
        <v>616679.866913712</v>
      </c>
      <c r="P19" s="116"/>
      <c r="Q19" s="117"/>
      <c r="R19" s="118"/>
    </row>
    <row r="20" spans="1:18">
      <c r="A20" s="266">
        <v>47</v>
      </c>
      <c r="B20" s="13" t="s">
        <v>386</v>
      </c>
      <c r="C20" s="267">
        <v>1789</v>
      </c>
      <c r="D20" s="268">
        <v>8.61</v>
      </c>
      <c r="E20" s="14">
        <v>2555440.4613243099</v>
      </c>
      <c r="F20" s="14">
        <f>Tasaus[[#This Row],[Kunnallisvero (maksuunpantu), €]]*100/Tasaus[[#This Row],[Tuloveroprosentti 2023]]</f>
        <v>29679912.44279106</v>
      </c>
      <c r="G20" s="269">
        <f>Tasaus[[#This Row],[Verotettava tulo (kunnallisvero), €]]*($D$11/100)</f>
        <v>2187409.5470337016</v>
      </c>
      <c r="H20" s="14">
        <v>518293.50163085834</v>
      </c>
      <c r="I20" s="15">
        <v>532269.15835000004</v>
      </c>
      <c r="J20" s="15">
        <f>SUM(Tasaus[[#This Row],[Laskennallinen kunnallisvero, €]:[Laskennallinen kiinteistövero, €]])</f>
        <v>3237972.2070145602</v>
      </c>
      <c r="K20" s="15">
        <f>Tasaus[[#This Row],[Laskennallinen verotulo yhteensä, €]]/Tasaus[[#This Row],[Asukasluku 31.12.2022]]</f>
        <v>1809.9341570791282</v>
      </c>
      <c r="L20" s="34">
        <f>$K$11-Tasaus[[#This Row],[Laskennallinen verotulo yhteensä, €/asukas (=tasausraja)]]</f>
        <v>334.02584292087181</v>
      </c>
      <c r="M20" s="369">
        <f>IF(Tasaus[[#This Row],[Erotus = tasausraja - laskennallinen verotulo, €/asukas]]&gt;0,(Tasaus[[#This Row],[Erotus = tasausraja - laskennallinen verotulo, €/asukas]]*$B$7),(Tasaus[[#This Row],[Erotus = tasausraja - laskennallinen verotulo, €/asukas]]*$B$8))</f>
        <v>300.62325862878464</v>
      </c>
      <c r="N20" s="370">
        <f>Tasaus[[#This Row],[Tasaus,  €/asukas]]*Tasaus[[#This Row],[Asukasluku 31.12.2022]]</f>
        <v>537815.00968689576</v>
      </c>
      <c r="P20" s="116"/>
      <c r="Q20" s="117"/>
      <c r="R20" s="118"/>
    </row>
    <row r="21" spans="1:18">
      <c r="A21" s="266">
        <v>49</v>
      </c>
      <c r="B21" s="13" t="s">
        <v>387</v>
      </c>
      <c r="C21" s="267">
        <v>302449</v>
      </c>
      <c r="D21" s="268">
        <v>5.3599999999999994</v>
      </c>
      <c r="E21" s="14">
        <v>488318197.32258296</v>
      </c>
      <c r="F21" s="14">
        <f>Tasaus[[#This Row],[Kunnallisvero (maksuunpantu), €]]*100/Tasaus[[#This Row],[Tuloveroprosentti 2023]]</f>
        <v>9110414129.152668</v>
      </c>
      <c r="G21" s="269">
        <f>Tasaus[[#This Row],[Verotettava tulo (kunnallisvero), €]]*($D$11/100)</f>
        <v>671437521.31855178</v>
      </c>
      <c r="H21" s="14">
        <v>136662182.6532326</v>
      </c>
      <c r="I21" s="15">
        <v>85244279.740649998</v>
      </c>
      <c r="J21" s="15">
        <f>SUM(Tasaus[[#This Row],[Laskennallinen kunnallisvero, €]:[Laskennallinen kiinteistövero, €]])</f>
        <v>893343983.71243429</v>
      </c>
      <c r="K21" s="15">
        <f>Tasaus[[#This Row],[Laskennallinen verotulo yhteensä, €]]/Tasaus[[#This Row],[Asukasluku 31.12.2022]]</f>
        <v>2953.7012313230803</v>
      </c>
      <c r="L21" s="34">
        <f>$K$11-Tasaus[[#This Row],[Laskennallinen verotulo yhteensä, €/asukas (=tasausraja)]]</f>
        <v>-809.74123132308023</v>
      </c>
      <c r="M21" s="369">
        <f>IF(Tasaus[[#This Row],[Erotus = tasausraja - laskennallinen verotulo, €/asukas]]&gt;0,(Tasaus[[#This Row],[Erotus = tasausraja - laskennallinen verotulo, €/asukas]]*$B$7),(Tasaus[[#This Row],[Erotus = tasausraja - laskennallinen verotulo, €/asukas]]*$B$8))</f>
        <v>-80.974123132308023</v>
      </c>
      <c r="N21" s="370">
        <f>Tasaus[[#This Row],[Tasaus,  €/asukas]]*Tasaus[[#This Row],[Asukasluku 31.12.2022]]</f>
        <v>-24490542.567243431</v>
      </c>
      <c r="P21" s="116"/>
      <c r="Q21" s="117"/>
      <c r="R21" s="118"/>
    </row>
    <row r="22" spans="1:18">
      <c r="A22" s="266">
        <v>50</v>
      </c>
      <c r="B22" s="13" t="s">
        <v>388</v>
      </c>
      <c r="C22" s="267">
        <v>11231</v>
      </c>
      <c r="D22" s="268">
        <v>8.36</v>
      </c>
      <c r="E22" s="14">
        <v>18354983.365164459</v>
      </c>
      <c r="F22" s="14">
        <f>Tasaus[[#This Row],[Kunnallisvero (maksuunpantu), €]]*100/Tasaus[[#This Row],[Tuloveroprosentti 2023]]</f>
        <v>219557217.28665623</v>
      </c>
      <c r="G22" s="269">
        <f>Tasaus[[#This Row],[Verotettava tulo (kunnallisvero), €]]*($D$11/100)</f>
        <v>16181366.914026568</v>
      </c>
      <c r="H22" s="14">
        <v>2297641.3815679103</v>
      </c>
      <c r="I22" s="15">
        <v>1687816.8291000002</v>
      </c>
      <c r="J22" s="15">
        <f>SUM(Tasaus[[#This Row],[Laskennallinen kunnallisvero, €]:[Laskennallinen kiinteistövero, €]])</f>
        <v>20166825.124694478</v>
      </c>
      <c r="K22" s="15">
        <f>Tasaus[[#This Row],[Laskennallinen verotulo yhteensä, €]]/Tasaus[[#This Row],[Asukasluku 31.12.2022]]</f>
        <v>1795.639313034857</v>
      </c>
      <c r="L22" s="34">
        <f>$K$11-Tasaus[[#This Row],[Laskennallinen verotulo yhteensä, €/asukas (=tasausraja)]]</f>
        <v>348.32068696514307</v>
      </c>
      <c r="M22" s="369">
        <f>IF(Tasaus[[#This Row],[Erotus = tasausraja - laskennallinen verotulo, €/asukas]]&gt;0,(Tasaus[[#This Row],[Erotus = tasausraja - laskennallinen verotulo, €/asukas]]*$B$7),(Tasaus[[#This Row],[Erotus = tasausraja - laskennallinen verotulo, €/asukas]]*$B$8))</f>
        <v>313.48861826862878</v>
      </c>
      <c r="N22" s="370">
        <f>Tasaus[[#This Row],[Tasaus,  €/asukas]]*Tasaus[[#This Row],[Asukasluku 31.12.2022]]</f>
        <v>3520790.6717749699</v>
      </c>
      <c r="P22" s="116"/>
      <c r="Q22" s="117"/>
      <c r="R22" s="118"/>
    </row>
    <row r="23" spans="1:18">
      <c r="A23" s="266">
        <v>51</v>
      </c>
      <c r="B23" s="13" t="s">
        <v>389</v>
      </c>
      <c r="C23" s="267">
        <v>9525</v>
      </c>
      <c r="D23" s="268">
        <v>5.3599999999999994</v>
      </c>
      <c r="E23" s="14">
        <v>10613238.95672418</v>
      </c>
      <c r="F23" s="14">
        <f>Tasaus[[#This Row],[Kunnallisvero (maksuunpantu), €]]*100/Tasaus[[#This Row],[Tuloveroprosentti 2023]]</f>
        <v>198008189.49112278</v>
      </c>
      <c r="G23" s="269">
        <f>Tasaus[[#This Row],[Verotettava tulo (kunnallisvero), €]]*($D$11/100)</f>
        <v>14593203.565495752</v>
      </c>
      <c r="H23" s="14">
        <v>2826371.6150109931</v>
      </c>
      <c r="I23" s="15">
        <v>5612703.8539500004</v>
      </c>
      <c r="J23" s="15">
        <f>SUM(Tasaus[[#This Row],[Laskennallinen kunnallisvero, €]:[Laskennallinen kiinteistövero, €]])</f>
        <v>23032279.034456745</v>
      </c>
      <c r="K23" s="15">
        <f>Tasaus[[#This Row],[Laskennallinen verotulo yhteensä, €]]/Tasaus[[#This Row],[Asukasluku 31.12.2022]]</f>
        <v>2418.0870377382407</v>
      </c>
      <c r="L23" s="34">
        <f>$K$11-Tasaus[[#This Row],[Laskennallinen verotulo yhteensä, €/asukas (=tasausraja)]]</f>
        <v>-274.12703773824069</v>
      </c>
      <c r="M23" s="369">
        <f>IF(Tasaus[[#This Row],[Erotus = tasausraja - laskennallinen verotulo, €/asukas]]&gt;0,(Tasaus[[#This Row],[Erotus = tasausraja - laskennallinen verotulo, €/asukas]]*$B$7),(Tasaus[[#This Row],[Erotus = tasausraja - laskennallinen verotulo, €/asukas]]*$B$8))</f>
        <v>-27.41270377382407</v>
      </c>
      <c r="N23" s="370">
        <f>Tasaus[[#This Row],[Tasaus,  €/asukas]]*Tasaus[[#This Row],[Asukasluku 31.12.2022]]</f>
        <v>-261106.00344567426</v>
      </c>
      <c r="P23" s="116"/>
      <c r="Q23" s="117"/>
      <c r="R23" s="118"/>
    </row>
    <row r="24" spans="1:18">
      <c r="A24" s="266">
        <v>52</v>
      </c>
      <c r="B24" s="13" t="s">
        <v>390</v>
      </c>
      <c r="C24" s="267">
        <v>2348</v>
      </c>
      <c r="D24" s="268">
        <v>9.86</v>
      </c>
      <c r="E24" s="14">
        <v>3569089.7793753296</v>
      </c>
      <c r="F24" s="14">
        <f>Tasaus[[#This Row],[Kunnallisvero (maksuunpantu), €]]*100/Tasaus[[#This Row],[Tuloveroprosentti 2023]]</f>
        <v>36197665.105226472</v>
      </c>
      <c r="G24" s="269">
        <f>Tasaus[[#This Row],[Verotettava tulo (kunnallisvero), €]]*($D$11/100)</f>
        <v>2667767.9182551918</v>
      </c>
      <c r="H24" s="14">
        <v>618328.22609207919</v>
      </c>
      <c r="I24" s="15">
        <v>412042.35340000002</v>
      </c>
      <c r="J24" s="15">
        <f>SUM(Tasaus[[#This Row],[Laskennallinen kunnallisvero, €]:[Laskennallinen kiinteistövero, €]])</f>
        <v>3698138.4977472709</v>
      </c>
      <c r="K24" s="15">
        <f>Tasaus[[#This Row],[Laskennallinen verotulo yhteensä, €]]/Tasaus[[#This Row],[Asukasluku 31.12.2022]]</f>
        <v>1575.0163959741358</v>
      </c>
      <c r="L24" s="34">
        <f>$K$11-Tasaus[[#This Row],[Laskennallinen verotulo yhteensä, €/asukas (=tasausraja)]]</f>
        <v>568.94360402586426</v>
      </c>
      <c r="M24" s="369">
        <f>IF(Tasaus[[#This Row],[Erotus = tasausraja - laskennallinen verotulo, €/asukas]]&gt;0,(Tasaus[[#This Row],[Erotus = tasausraja - laskennallinen verotulo, €/asukas]]*$B$7),(Tasaus[[#This Row],[Erotus = tasausraja - laskennallinen verotulo, €/asukas]]*$B$8))</f>
        <v>512.0492436232779</v>
      </c>
      <c r="N24" s="370">
        <f>Tasaus[[#This Row],[Tasaus,  €/asukas]]*Tasaus[[#This Row],[Asukasluku 31.12.2022]]</f>
        <v>1202291.6240274566</v>
      </c>
      <c r="P24" s="116"/>
      <c r="Q24" s="117"/>
      <c r="R24" s="118"/>
    </row>
    <row r="25" spans="1:18">
      <c r="A25" s="266">
        <v>61</v>
      </c>
      <c r="B25" s="13" t="s">
        <v>391</v>
      </c>
      <c r="C25" s="267">
        <v>16537</v>
      </c>
      <c r="D25" s="268">
        <v>7.8599999999999994</v>
      </c>
      <c r="E25" s="14">
        <v>23551945.895378809</v>
      </c>
      <c r="F25" s="14">
        <f>Tasaus[[#This Row],[Kunnallisvero (maksuunpantu), €]]*100/Tasaus[[#This Row],[Tuloveroprosentti 2023]]</f>
        <v>299643077.54934871</v>
      </c>
      <c r="G25" s="269">
        <f>Tasaus[[#This Row],[Verotettava tulo (kunnallisvero), €]]*($D$11/100)</f>
        <v>22083694.815387003</v>
      </c>
      <c r="H25" s="14">
        <v>4250578.4910679534</v>
      </c>
      <c r="I25" s="15">
        <v>2606473.4933000002</v>
      </c>
      <c r="J25" s="15">
        <f>SUM(Tasaus[[#This Row],[Laskennallinen kunnallisvero, €]:[Laskennallinen kiinteistövero, €]])</f>
        <v>28940746.799754955</v>
      </c>
      <c r="K25" s="15">
        <f>Tasaus[[#This Row],[Laskennallinen verotulo yhteensä, €]]/Tasaus[[#This Row],[Asukasluku 31.12.2022]]</f>
        <v>1750.0602769398897</v>
      </c>
      <c r="L25" s="34">
        <f>$K$11-Tasaus[[#This Row],[Laskennallinen verotulo yhteensä, €/asukas (=tasausraja)]]</f>
        <v>393.89972306011032</v>
      </c>
      <c r="M25" s="369">
        <f>IF(Tasaus[[#This Row],[Erotus = tasausraja - laskennallinen verotulo, €/asukas]]&gt;0,(Tasaus[[#This Row],[Erotus = tasausraja - laskennallinen verotulo, €/asukas]]*$B$7),(Tasaus[[#This Row],[Erotus = tasausraja - laskennallinen verotulo, €/asukas]]*$B$8))</f>
        <v>354.50975075409929</v>
      </c>
      <c r="N25" s="370">
        <f>Tasaus[[#This Row],[Tasaus,  €/asukas]]*Tasaus[[#This Row],[Asukasluku 31.12.2022]]</f>
        <v>5862527.7482205397</v>
      </c>
      <c r="P25" s="116"/>
      <c r="Q25" s="117"/>
      <c r="R25" s="118"/>
    </row>
    <row r="26" spans="1:18">
      <c r="A26" s="266">
        <v>69</v>
      </c>
      <c r="B26" s="13" t="s">
        <v>392</v>
      </c>
      <c r="C26" s="267">
        <v>6674</v>
      </c>
      <c r="D26" s="268">
        <v>9.86</v>
      </c>
      <c r="E26" s="14">
        <v>10613871.24555205</v>
      </c>
      <c r="F26" s="14">
        <f>Tasaus[[#This Row],[Kunnallisvero (maksuunpantu), €]]*100/Tasaus[[#This Row],[Tuloveroprosentti 2023]]</f>
        <v>107645752.99748529</v>
      </c>
      <c r="G26" s="269">
        <f>Tasaus[[#This Row],[Verotettava tulo (kunnallisvero), €]]*($D$11/100)</f>
        <v>7933491.9959146678</v>
      </c>
      <c r="H26" s="14">
        <v>1798427.4841761193</v>
      </c>
      <c r="I26" s="15">
        <v>860295.11</v>
      </c>
      <c r="J26" s="15">
        <f>SUM(Tasaus[[#This Row],[Laskennallinen kunnallisvero, €]:[Laskennallinen kiinteistövero, €]])</f>
        <v>10592214.590090787</v>
      </c>
      <c r="K26" s="15">
        <f>Tasaus[[#This Row],[Laskennallinen verotulo yhteensä, €]]/Tasaus[[#This Row],[Asukasluku 31.12.2022]]</f>
        <v>1587.0863934807892</v>
      </c>
      <c r="L26" s="34">
        <f>$K$11-Tasaus[[#This Row],[Laskennallinen verotulo yhteensä, €/asukas (=tasausraja)]]</f>
        <v>556.87360651921085</v>
      </c>
      <c r="M26" s="369">
        <f>IF(Tasaus[[#This Row],[Erotus = tasausraja - laskennallinen verotulo, €/asukas]]&gt;0,(Tasaus[[#This Row],[Erotus = tasausraja - laskennallinen verotulo, €/asukas]]*$B$7),(Tasaus[[#This Row],[Erotus = tasausraja - laskennallinen verotulo, €/asukas]]*$B$8))</f>
        <v>501.18624586728976</v>
      </c>
      <c r="N26" s="370">
        <f>Tasaus[[#This Row],[Tasaus,  €/asukas]]*Tasaus[[#This Row],[Asukasluku 31.12.2022]]</f>
        <v>3344917.0049182917</v>
      </c>
      <c r="P26" s="116"/>
      <c r="Q26" s="117"/>
      <c r="R26" s="118"/>
    </row>
    <row r="27" spans="1:18">
      <c r="A27" s="266">
        <v>71</v>
      </c>
      <c r="B27" s="13" t="s">
        <v>393</v>
      </c>
      <c r="C27" s="267">
        <v>6476</v>
      </c>
      <c r="D27" s="268">
        <v>9.36</v>
      </c>
      <c r="E27" s="14">
        <v>9407193.1810498592</v>
      </c>
      <c r="F27" s="14">
        <f>Tasaus[[#This Row],[Kunnallisvero (maksuunpantu), €]]*100/Tasaus[[#This Row],[Tuloveroprosentti 2023]]</f>
        <v>100504200.65224209</v>
      </c>
      <c r="G27" s="269">
        <f>Tasaus[[#This Row],[Verotettava tulo (kunnallisvero), €]]*($D$11/100)</f>
        <v>7407159.5880702436</v>
      </c>
      <c r="H27" s="14">
        <v>1114806.0591432187</v>
      </c>
      <c r="I27" s="15">
        <v>880268.79084999999</v>
      </c>
      <c r="J27" s="15">
        <f>SUM(Tasaus[[#This Row],[Laskennallinen kunnallisvero, €]:[Laskennallinen kiinteistövero, €]])</f>
        <v>9402234.4380634632</v>
      </c>
      <c r="K27" s="15">
        <f>Tasaus[[#This Row],[Laskennallinen verotulo yhteensä, €]]/Tasaus[[#This Row],[Asukasluku 31.12.2022]]</f>
        <v>1451.8583134749017</v>
      </c>
      <c r="L27" s="34">
        <f>$K$11-Tasaus[[#This Row],[Laskennallinen verotulo yhteensä, €/asukas (=tasausraja)]]</f>
        <v>692.10168652509833</v>
      </c>
      <c r="M27" s="369">
        <f>IF(Tasaus[[#This Row],[Erotus = tasausraja - laskennallinen verotulo, €/asukas]]&gt;0,(Tasaus[[#This Row],[Erotus = tasausraja - laskennallinen verotulo, €/asukas]]*$B$7),(Tasaus[[#This Row],[Erotus = tasausraja - laskennallinen verotulo, €/asukas]]*$B$8))</f>
        <v>622.89151787258857</v>
      </c>
      <c r="N27" s="370">
        <f>Tasaus[[#This Row],[Tasaus,  €/asukas]]*Tasaus[[#This Row],[Asukasluku 31.12.2022]]</f>
        <v>4033845.4697428835</v>
      </c>
      <c r="P27" s="116"/>
      <c r="Q27" s="117"/>
      <c r="R27" s="118"/>
    </row>
    <row r="28" spans="1:18">
      <c r="A28" s="266">
        <v>72</v>
      </c>
      <c r="B28" s="13" t="s">
        <v>394</v>
      </c>
      <c r="C28" s="267">
        <v>936</v>
      </c>
      <c r="D28" s="268">
        <v>7.8599999999999994</v>
      </c>
      <c r="E28" s="14">
        <v>1467000.4076338101</v>
      </c>
      <c r="F28" s="14">
        <f>Tasaus[[#This Row],[Kunnallisvero (maksuunpantu), €]]*100/Tasaus[[#This Row],[Tuloveroprosentti 2023]]</f>
        <v>18664127.323585372</v>
      </c>
      <c r="G28" s="269">
        <f>Tasaus[[#This Row],[Verotettava tulo (kunnallisvero), €]]*($D$11/100)</f>
        <v>1375546.1837482422</v>
      </c>
      <c r="H28" s="14">
        <v>105543.73726682529</v>
      </c>
      <c r="I28" s="15">
        <v>186441.47274999999</v>
      </c>
      <c r="J28" s="15">
        <f>SUM(Tasaus[[#This Row],[Laskennallinen kunnallisvero, €]:[Laskennallinen kiinteistövero, €]])</f>
        <v>1667531.3937650674</v>
      </c>
      <c r="K28" s="15">
        <f>Tasaus[[#This Row],[Laskennallinen verotulo yhteensä, €]]/Tasaus[[#This Row],[Asukasluku 31.12.2022]]</f>
        <v>1781.5506343643883</v>
      </c>
      <c r="L28" s="34">
        <f>$K$11-Tasaus[[#This Row],[Laskennallinen verotulo yhteensä, €/asukas (=tasausraja)]]</f>
        <v>362.40936563561172</v>
      </c>
      <c r="M28" s="369">
        <f>IF(Tasaus[[#This Row],[Erotus = tasausraja - laskennallinen verotulo, €/asukas]]&gt;0,(Tasaus[[#This Row],[Erotus = tasausraja - laskennallinen verotulo, €/asukas]]*$B$7),(Tasaus[[#This Row],[Erotus = tasausraja - laskennallinen verotulo, €/asukas]]*$B$8))</f>
        <v>326.16842907205057</v>
      </c>
      <c r="N28" s="370">
        <f>Tasaus[[#This Row],[Tasaus,  €/asukas]]*Tasaus[[#This Row],[Asukasluku 31.12.2022]]</f>
        <v>305293.64961143932</v>
      </c>
      <c r="P28" s="116"/>
      <c r="Q28" s="117"/>
      <c r="R28" s="118"/>
    </row>
    <row r="29" spans="1:18">
      <c r="A29" s="266">
        <v>74</v>
      </c>
      <c r="B29" s="13" t="s">
        <v>395</v>
      </c>
      <c r="C29" s="267">
        <v>1047</v>
      </c>
      <c r="D29" s="268">
        <v>10.860000000000003</v>
      </c>
      <c r="E29" s="14">
        <v>1654067.5737079198</v>
      </c>
      <c r="F29" s="14">
        <f>Tasaus[[#This Row],[Kunnallisvero (maksuunpantu), €]]*100/Tasaus[[#This Row],[Tuloveroprosentti 2023]]</f>
        <v>15230824.803940324</v>
      </c>
      <c r="G29" s="269">
        <f>Tasaus[[#This Row],[Verotettava tulo (kunnallisvero), €]]*($D$11/100)</f>
        <v>1122511.7880504022</v>
      </c>
      <c r="H29" s="14">
        <v>294576.71851590765</v>
      </c>
      <c r="I29" s="15">
        <v>179651.20574999999</v>
      </c>
      <c r="J29" s="15">
        <f>SUM(Tasaus[[#This Row],[Laskennallinen kunnallisvero, €]:[Laskennallinen kiinteistövero, €]])</f>
        <v>1596739.7123163098</v>
      </c>
      <c r="K29" s="15">
        <f>Tasaus[[#This Row],[Laskennallinen verotulo yhteensä, €]]/Tasaus[[#This Row],[Asukasluku 31.12.2022]]</f>
        <v>1525.0618073699234</v>
      </c>
      <c r="L29" s="34">
        <f>$K$11-Tasaus[[#This Row],[Laskennallinen verotulo yhteensä, €/asukas (=tasausraja)]]</f>
        <v>618.89819263007666</v>
      </c>
      <c r="M29" s="369">
        <f>IF(Tasaus[[#This Row],[Erotus = tasausraja - laskennallinen verotulo, €/asukas]]&gt;0,(Tasaus[[#This Row],[Erotus = tasausraja - laskennallinen verotulo, €/asukas]]*$B$7),(Tasaus[[#This Row],[Erotus = tasausraja - laskennallinen verotulo, €/asukas]]*$B$8))</f>
        <v>557.008373367069</v>
      </c>
      <c r="N29" s="370">
        <f>Tasaus[[#This Row],[Tasaus,  €/asukas]]*Tasaus[[#This Row],[Asukasluku 31.12.2022]]</f>
        <v>583187.76691532123</v>
      </c>
      <c r="P29" s="116"/>
      <c r="Q29" s="117"/>
      <c r="R29" s="118"/>
    </row>
    <row r="30" spans="1:18">
      <c r="A30" s="266">
        <v>75</v>
      </c>
      <c r="B30" s="13" t="s">
        <v>396</v>
      </c>
      <c r="C30" s="267">
        <v>19479</v>
      </c>
      <c r="D30" s="268">
        <v>8.36</v>
      </c>
      <c r="E30" s="14">
        <v>33160839.212519199</v>
      </c>
      <c r="F30" s="14">
        <f>Tasaus[[#This Row],[Kunnallisvero (maksuunpantu), €]]*100/Tasaus[[#This Row],[Tuloveroprosentti 2023]]</f>
        <v>396660756.13061243</v>
      </c>
      <c r="G30" s="269">
        <f>Tasaus[[#This Row],[Verotettava tulo (kunnallisvero), €]]*($D$11/100)</f>
        <v>29233897.726826143</v>
      </c>
      <c r="H30" s="14">
        <v>9845656.8967370614</v>
      </c>
      <c r="I30" s="15">
        <v>3618396.4015500001</v>
      </c>
      <c r="J30" s="15">
        <f>SUM(Tasaus[[#This Row],[Laskennallinen kunnallisvero, €]:[Laskennallinen kiinteistövero, €]])</f>
        <v>42697951.025113203</v>
      </c>
      <c r="K30" s="15">
        <f>Tasaus[[#This Row],[Laskennallinen verotulo yhteensä, €]]/Tasaus[[#This Row],[Asukasluku 31.12.2022]]</f>
        <v>2191.9991285545052</v>
      </c>
      <c r="L30" s="34">
        <f>$K$11-Tasaus[[#This Row],[Laskennallinen verotulo yhteensä, €/asukas (=tasausraja)]]</f>
        <v>-48.039128554505169</v>
      </c>
      <c r="M30" s="369">
        <f>IF(Tasaus[[#This Row],[Erotus = tasausraja - laskennallinen verotulo, €/asukas]]&gt;0,(Tasaus[[#This Row],[Erotus = tasausraja - laskennallinen verotulo, €/asukas]]*$B$7),(Tasaus[[#This Row],[Erotus = tasausraja - laskennallinen verotulo, €/asukas]]*$B$8))</f>
        <v>-4.803912855450517</v>
      </c>
      <c r="N30" s="370">
        <f>Tasaus[[#This Row],[Tasaus,  €/asukas]]*Tasaus[[#This Row],[Asukasluku 31.12.2022]]</f>
        <v>-93575.418511320619</v>
      </c>
      <c r="P30" s="116"/>
      <c r="Q30" s="117"/>
      <c r="R30" s="118"/>
    </row>
    <row r="31" spans="1:18">
      <c r="A31" s="266">
        <v>77</v>
      </c>
      <c r="B31" s="13" t="s">
        <v>397</v>
      </c>
      <c r="C31" s="267">
        <v>4615</v>
      </c>
      <c r="D31" s="268">
        <v>9.36</v>
      </c>
      <c r="E31" s="14">
        <v>6554667.2976020593</v>
      </c>
      <c r="F31" s="14">
        <f>Tasaus[[#This Row],[Kunnallisvero (maksuunpantu), €]]*100/Tasaus[[#This Row],[Tuloveroprosentti 2023]]</f>
        <v>70028496.769252777</v>
      </c>
      <c r="G31" s="269">
        <f>Tasaus[[#This Row],[Verotettava tulo (kunnallisvero), €]]*($D$11/100)</f>
        <v>5161100.211893931</v>
      </c>
      <c r="H31" s="14">
        <v>831905.194595429</v>
      </c>
      <c r="I31" s="15">
        <v>723250.81825000001</v>
      </c>
      <c r="J31" s="15">
        <f>SUM(Tasaus[[#This Row],[Laskennallinen kunnallisvero, €]:[Laskennallinen kiinteistövero, €]])</f>
        <v>6716256.2247393597</v>
      </c>
      <c r="K31" s="15">
        <f>Tasaus[[#This Row],[Laskennallinen verotulo yhteensä, €]]/Tasaus[[#This Row],[Asukasluku 31.12.2022]]</f>
        <v>1455.3101245372393</v>
      </c>
      <c r="L31" s="34">
        <f>$K$11-Tasaus[[#This Row],[Laskennallinen verotulo yhteensä, €/asukas (=tasausraja)]]</f>
        <v>688.64987546276075</v>
      </c>
      <c r="M31" s="369">
        <f>IF(Tasaus[[#This Row],[Erotus = tasausraja - laskennallinen verotulo, €/asukas]]&gt;0,(Tasaus[[#This Row],[Erotus = tasausraja - laskennallinen verotulo, €/asukas]]*$B$7),(Tasaus[[#This Row],[Erotus = tasausraja - laskennallinen verotulo, €/asukas]]*$B$8))</f>
        <v>619.78488791648465</v>
      </c>
      <c r="N31" s="370">
        <f>Tasaus[[#This Row],[Tasaus,  €/asukas]]*Tasaus[[#This Row],[Asukasluku 31.12.2022]]</f>
        <v>2860307.2577345767</v>
      </c>
      <c r="P31" s="116"/>
      <c r="Q31" s="117"/>
      <c r="R31" s="118"/>
    </row>
    <row r="32" spans="1:18">
      <c r="A32" s="266">
        <v>78</v>
      </c>
      <c r="B32" s="13" t="s">
        <v>398</v>
      </c>
      <c r="C32" s="267">
        <v>7732</v>
      </c>
      <c r="D32" s="268">
        <v>9.11</v>
      </c>
      <c r="E32" s="14">
        <v>15769554.34800403</v>
      </c>
      <c r="F32" s="14">
        <f>Tasaus[[#This Row],[Kunnallisvero (maksuunpantu), €]]*100/Tasaus[[#This Row],[Tuloveroprosentti 2023]]</f>
        <v>173101584.5005931</v>
      </c>
      <c r="G32" s="269">
        <f>Tasaus[[#This Row],[Verotettava tulo (kunnallisvero), €]]*($D$11/100)</f>
        <v>12757586.777693713</v>
      </c>
      <c r="H32" s="14">
        <v>3275681.66106471</v>
      </c>
      <c r="I32" s="15">
        <v>1489112.5312000003</v>
      </c>
      <c r="J32" s="15">
        <f>SUM(Tasaus[[#This Row],[Laskennallinen kunnallisvero, €]:[Laskennallinen kiinteistövero, €]])</f>
        <v>17522380.969958425</v>
      </c>
      <c r="K32" s="15">
        <f>Tasaus[[#This Row],[Laskennallinen verotulo yhteensä, €]]/Tasaus[[#This Row],[Asukasluku 31.12.2022]]</f>
        <v>2266.2158522967438</v>
      </c>
      <c r="L32" s="34">
        <f>$K$11-Tasaus[[#This Row],[Laskennallinen verotulo yhteensä, €/asukas (=tasausraja)]]</f>
        <v>-122.2558522967438</v>
      </c>
      <c r="M32" s="369">
        <f>IF(Tasaus[[#This Row],[Erotus = tasausraja - laskennallinen verotulo, €/asukas]]&gt;0,(Tasaus[[#This Row],[Erotus = tasausraja - laskennallinen verotulo, €/asukas]]*$B$7),(Tasaus[[#This Row],[Erotus = tasausraja - laskennallinen verotulo, €/asukas]]*$B$8))</f>
        <v>-12.22558522967438</v>
      </c>
      <c r="N32" s="370">
        <f>Tasaus[[#This Row],[Tasaus,  €/asukas]]*Tasaus[[#This Row],[Asukasluku 31.12.2022]]</f>
        <v>-94528.224995842305</v>
      </c>
      <c r="P32" s="116"/>
      <c r="Q32" s="117"/>
      <c r="R32" s="118"/>
    </row>
    <row r="33" spans="1:18">
      <c r="A33" s="266">
        <v>79</v>
      </c>
      <c r="B33" s="13" t="s">
        <v>399</v>
      </c>
      <c r="C33" s="267">
        <v>6707</v>
      </c>
      <c r="D33" s="268">
        <v>8.86</v>
      </c>
      <c r="E33" s="14">
        <v>11820007.34820178</v>
      </c>
      <c r="F33" s="14">
        <f>Tasaus[[#This Row],[Kunnallisvero (maksuunpantu), €]]*100/Tasaus[[#This Row],[Tuloveroprosentti 2023]]</f>
        <v>133408660.81491852</v>
      </c>
      <c r="G33" s="269">
        <f>Tasaus[[#This Row],[Verotettava tulo (kunnallisvero), €]]*($D$11/100)</f>
        <v>9832218.3020594977</v>
      </c>
      <c r="H33" s="14">
        <v>6222952.9808127834</v>
      </c>
      <c r="I33" s="15">
        <v>1369777.6355999999</v>
      </c>
      <c r="J33" s="15">
        <f>SUM(Tasaus[[#This Row],[Laskennallinen kunnallisvero, €]:[Laskennallinen kiinteistövero, €]])</f>
        <v>17424948.918472283</v>
      </c>
      <c r="K33" s="15">
        <f>Tasaus[[#This Row],[Laskennallinen verotulo yhteensä, €]]/Tasaus[[#This Row],[Asukasluku 31.12.2022]]</f>
        <v>2598.0242908114333</v>
      </c>
      <c r="L33" s="34">
        <f>$K$11-Tasaus[[#This Row],[Laskennallinen verotulo yhteensä, €/asukas (=tasausraja)]]</f>
        <v>-454.06429081143324</v>
      </c>
      <c r="M33" s="369">
        <f>IF(Tasaus[[#This Row],[Erotus = tasausraja - laskennallinen verotulo, €/asukas]]&gt;0,(Tasaus[[#This Row],[Erotus = tasausraja - laskennallinen verotulo, €/asukas]]*$B$7),(Tasaus[[#This Row],[Erotus = tasausraja - laskennallinen verotulo, €/asukas]]*$B$8))</f>
        <v>-45.40642908114333</v>
      </c>
      <c r="N33" s="370">
        <f>Tasaus[[#This Row],[Tasaus,  €/asukas]]*Tasaus[[#This Row],[Asukasluku 31.12.2022]]</f>
        <v>-304540.91984722833</v>
      </c>
      <c r="P33" s="116"/>
      <c r="Q33" s="117"/>
      <c r="R33" s="118"/>
    </row>
    <row r="34" spans="1:18">
      <c r="A34" s="266">
        <v>81</v>
      </c>
      <c r="B34" s="13" t="s">
        <v>400</v>
      </c>
      <c r="C34" s="267">
        <v>2528</v>
      </c>
      <c r="D34" s="268">
        <v>8.86</v>
      </c>
      <c r="E34" s="14">
        <v>3454374.52060463</v>
      </c>
      <c r="F34" s="14">
        <f>Tasaus[[#This Row],[Kunnallisvero (maksuunpantu), €]]*100/Tasaus[[#This Row],[Tuloveroprosentti 2023]]</f>
        <v>38988425.740458585</v>
      </c>
      <c r="G34" s="269">
        <f>Tasaus[[#This Row],[Verotettava tulo (kunnallisvero), €]]*($D$11/100)</f>
        <v>2873446.9770717984</v>
      </c>
      <c r="H34" s="14">
        <v>962559.64368640736</v>
      </c>
      <c r="I34" s="15">
        <v>816100.61585000006</v>
      </c>
      <c r="J34" s="15">
        <f>SUM(Tasaus[[#This Row],[Laskennallinen kunnallisvero, €]:[Laskennallinen kiinteistövero, €]])</f>
        <v>4652107.2366082054</v>
      </c>
      <c r="K34" s="15">
        <f>Tasaus[[#This Row],[Laskennallinen verotulo yhteensä, €]]/Tasaus[[#This Row],[Asukasluku 31.12.2022]]</f>
        <v>1840.2322929621066</v>
      </c>
      <c r="L34" s="34">
        <f>$K$11-Tasaus[[#This Row],[Laskennallinen verotulo yhteensä, €/asukas (=tasausraja)]]</f>
        <v>303.72770703789342</v>
      </c>
      <c r="M34" s="369">
        <f>IF(Tasaus[[#This Row],[Erotus = tasausraja - laskennallinen verotulo, €/asukas]]&gt;0,(Tasaus[[#This Row],[Erotus = tasausraja - laskennallinen verotulo, €/asukas]]*$B$7),(Tasaus[[#This Row],[Erotus = tasausraja - laskennallinen verotulo, €/asukas]]*$B$8))</f>
        <v>273.35493633410408</v>
      </c>
      <c r="N34" s="370">
        <f>Tasaus[[#This Row],[Tasaus,  €/asukas]]*Tasaus[[#This Row],[Asukasluku 31.12.2022]]</f>
        <v>691041.27905261517</v>
      </c>
      <c r="P34" s="116"/>
      <c r="Q34" s="117"/>
      <c r="R34" s="118"/>
    </row>
    <row r="35" spans="1:18">
      <c r="A35" s="266">
        <v>82</v>
      </c>
      <c r="B35" s="13" t="s">
        <v>401</v>
      </c>
      <c r="C35" s="267">
        <v>9286</v>
      </c>
      <c r="D35" s="268">
        <v>8.11</v>
      </c>
      <c r="E35" s="14">
        <v>16461278.325693808</v>
      </c>
      <c r="F35" s="14">
        <f>Tasaus[[#This Row],[Kunnallisvero (maksuunpantu), €]]*100/Tasaus[[#This Row],[Tuloveroprosentti 2023]]</f>
        <v>202975071.83346251</v>
      </c>
      <c r="G35" s="269">
        <f>Tasaus[[#This Row],[Verotettava tulo (kunnallisvero), €]]*($D$11/100)</f>
        <v>14959262.79412619</v>
      </c>
      <c r="H35" s="14">
        <v>2800843.7437409949</v>
      </c>
      <c r="I35" s="15">
        <v>1488054.0141000003</v>
      </c>
      <c r="J35" s="15">
        <f>SUM(Tasaus[[#This Row],[Laskennallinen kunnallisvero, €]:[Laskennallinen kiinteistövero, €]])</f>
        <v>19248160.551967185</v>
      </c>
      <c r="K35" s="15">
        <f>Tasaus[[#This Row],[Laskennallinen verotulo yhteensä, €]]/Tasaus[[#This Row],[Asukasluku 31.12.2022]]</f>
        <v>2072.8150497487813</v>
      </c>
      <c r="L35" s="34">
        <f>$K$11-Tasaus[[#This Row],[Laskennallinen verotulo yhteensä, €/asukas (=tasausraja)]]</f>
        <v>71.144950251218688</v>
      </c>
      <c r="M35" s="369">
        <f>IF(Tasaus[[#This Row],[Erotus = tasausraja - laskennallinen verotulo, €/asukas]]&gt;0,(Tasaus[[#This Row],[Erotus = tasausraja - laskennallinen verotulo, €/asukas]]*$B$7),(Tasaus[[#This Row],[Erotus = tasausraja - laskennallinen verotulo, €/asukas]]*$B$8))</f>
        <v>64.030455226096819</v>
      </c>
      <c r="N35" s="370">
        <f>Tasaus[[#This Row],[Tasaus,  €/asukas]]*Tasaus[[#This Row],[Asukasluku 31.12.2022]]</f>
        <v>594586.80722953507</v>
      </c>
      <c r="P35" s="116"/>
      <c r="Q35" s="117"/>
      <c r="R35" s="118"/>
    </row>
    <row r="36" spans="1:18">
      <c r="A36" s="266">
        <v>86</v>
      </c>
      <c r="B36" s="13" t="s">
        <v>402</v>
      </c>
      <c r="C36" s="267">
        <v>7980</v>
      </c>
      <c r="D36" s="268">
        <v>8.86</v>
      </c>
      <c r="E36" s="14">
        <v>14585548.35432975</v>
      </c>
      <c r="F36" s="14">
        <f>Tasaus[[#This Row],[Kunnallisvero (maksuunpantu), €]]*100/Tasaus[[#This Row],[Tuloveroprosentti 2023]]</f>
        <v>164622441.9224577</v>
      </c>
      <c r="G36" s="269">
        <f>Tasaus[[#This Row],[Verotettava tulo (kunnallisvero), €]]*($D$11/100)</f>
        <v>12132673.969685135</v>
      </c>
      <c r="H36" s="14">
        <v>1028480.6104228325</v>
      </c>
      <c r="I36" s="15">
        <v>952975.14035</v>
      </c>
      <c r="J36" s="15">
        <f>SUM(Tasaus[[#This Row],[Laskennallinen kunnallisvero, €]:[Laskennallinen kiinteistövero, €]])</f>
        <v>14114129.720457967</v>
      </c>
      <c r="K36" s="15">
        <f>Tasaus[[#This Row],[Laskennallinen verotulo yhteensä, €]]/Tasaus[[#This Row],[Asukasluku 31.12.2022]]</f>
        <v>1768.6879348944822</v>
      </c>
      <c r="L36" s="34">
        <f>$K$11-Tasaus[[#This Row],[Laskennallinen verotulo yhteensä, €/asukas (=tasausraja)]]</f>
        <v>375.27206510551787</v>
      </c>
      <c r="M36" s="369">
        <f>IF(Tasaus[[#This Row],[Erotus = tasausraja - laskennallinen verotulo, €/asukas]]&gt;0,(Tasaus[[#This Row],[Erotus = tasausraja - laskennallinen verotulo, €/asukas]]*$B$7),(Tasaus[[#This Row],[Erotus = tasausraja - laskennallinen verotulo, €/asukas]]*$B$8))</f>
        <v>337.7448585949661</v>
      </c>
      <c r="N36" s="370">
        <f>Tasaus[[#This Row],[Tasaus,  €/asukas]]*Tasaus[[#This Row],[Asukasluku 31.12.2022]]</f>
        <v>2695203.9715878293</v>
      </c>
      <c r="P36" s="116"/>
      <c r="Q36" s="117"/>
      <c r="R36" s="118"/>
    </row>
    <row r="37" spans="1:18">
      <c r="A37" s="266">
        <v>90</v>
      </c>
      <c r="B37" s="13" t="s">
        <v>403</v>
      </c>
      <c r="C37" s="267">
        <v>3065</v>
      </c>
      <c r="D37" s="268">
        <v>8.3599999999999959</v>
      </c>
      <c r="E37" s="14">
        <v>4095334.7381139896</v>
      </c>
      <c r="F37" s="14">
        <f>Tasaus[[#This Row],[Kunnallisvero (maksuunpantu), €]]*100/Tasaus[[#This Row],[Tuloveroprosentti 2023]]</f>
        <v>48987257.632942483</v>
      </c>
      <c r="G37" s="269">
        <f>Tasaus[[#This Row],[Verotettava tulo (kunnallisvero), €]]*($D$11/100)</f>
        <v>3610360.8875478618</v>
      </c>
      <c r="H37" s="14">
        <v>1522938.4844066252</v>
      </c>
      <c r="I37" s="15">
        <v>676161.19665000006</v>
      </c>
      <c r="J37" s="15">
        <f>SUM(Tasaus[[#This Row],[Laskennallinen kunnallisvero, €]:[Laskennallinen kiinteistövero, €]])</f>
        <v>5809460.568604487</v>
      </c>
      <c r="K37" s="15">
        <f>Tasaus[[#This Row],[Laskennallinen verotulo yhteensä, €]]/Tasaus[[#This Row],[Asukasluku 31.12.2022]]</f>
        <v>1895.4194351074998</v>
      </c>
      <c r="L37" s="34">
        <f>$K$11-Tasaus[[#This Row],[Laskennallinen verotulo yhteensä, €/asukas (=tasausraja)]]</f>
        <v>248.54056489250024</v>
      </c>
      <c r="M37" s="369">
        <f>IF(Tasaus[[#This Row],[Erotus = tasausraja - laskennallinen verotulo, €/asukas]]&gt;0,(Tasaus[[#This Row],[Erotus = tasausraja - laskennallinen verotulo, €/asukas]]*$B$7),(Tasaus[[#This Row],[Erotus = tasausraja - laskennallinen verotulo, €/asukas]]*$B$8))</f>
        <v>223.68650840325023</v>
      </c>
      <c r="N37" s="370">
        <f>Tasaus[[#This Row],[Tasaus,  €/asukas]]*Tasaus[[#This Row],[Asukasluku 31.12.2022]]</f>
        <v>685599.14825596195</v>
      </c>
      <c r="P37" s="116"/>
      <c r="Q37" s="117"/>
      <c r="R37" s="118"/>
    </row>
    <row r="38" spans="1:18">
      <c r="A38" s="266">
        <v>91</v>
      </c>
      <c r="B38" s="13" t="s">
        <v>404</v>
      </c>
      <c r="C38" s="267">
        <v>668263</v>
      </c>
      <c r="D38" s="268">
        <v>5.3599999999999994</v>
      </c>
      <c r="E38" s="14">
        <v>997714645.99196649</v>
      </c>
      <c r="F38" s="14">
        <f>Tasaus[[#This Row],[Kunnallisvero (maksuunpantu), €]]*100/Tasaus[[#This Row],[Tuloveroprosentti 2023]]</f>
        <v>18614079216.268036</v>
      </c>
      <c r="G38" s="269">
        <f>Tasaus[[#This Row],[Verotettava tulo (kunnallisvero), €]]*($D$11/100)</f>
        <v>1371857638.2389545</v>
      </c>
      <c r="H38" s="14">
        <v>490407973.52969801</v>
      </c>
      <c r="I38" s="15">
        <v>188811635.94705001</v>
      </c>
      <c r="J38" s="15">
        <f>SUM(Tasaus[[#This Row],[Laskennallinen kunnallisvero, €]:[Laskennallinen kiinteistövero, €]])</f>
        <v>2051077247.7157025</v>
      </c>
      <c r="K38" s="15">
        <f>Tasaus[[#This Row],[Laskennallinen verotulo yhteensä, €]]/Tasaus[[#This Row],[Asukasluku 31.12.2022]]</f>
        <v>3069.2665129083948</v>
      </c>
      <c r="L38" s="34">
        <f>$K$11-Tasaus[[#This Row],[Laskennallinen verotulo yhteensä, €/asukas (=tasausraja)]]</f>
        <v>-925.30651290839478</v>
      </c>
      <c r="M38" s="369">
        <f>IF(Tasaus[[#This Row],[Erotus = tasausraja - laskennallinen verotulo, €/asukas]]&gt;0,(Tasaus[[#This Row],[Erotus = tasausraja - laskennallinen verotulo, €/asukas]]*$B$7),(Tasaus[[#This Row],[Erotus = tasausraja - laskennallinen verotulo, €/asukas]]*$B$8))</f>
        <v>-92.530651290839486</v>
      </c>
      <c r="N38" s="370">
        <f>Tasaus[[#This Row],[Tasaus,  €/asukas]]*Tasaus[[#This Row],[Asukasluku 31.12.2022]]</f>
        <v>-61834810.623570271</v>
      </c>
      <c r="P38" s="116"/>
      <c r="Q38" s="117"/>
      <c r="R38" s="118"/>
    </row>
    <row r="39" spans="1:18">
      <c r="A39" s="266">
        <v>92</v>
      </c>
      <c r="B39" s="13" t="s">
        <v>405</v>
      </c>
      <c r="C39" s="267">
        <v>244962</v>
      </c>
      <c r="D39" s="268">
        <v>6.3599999999999994</v>
      </c>
      <c r="E39" s="14">
        <v>370397595.50248367</v>
      </c>
      <c r="F39" s="14">
        <f>Tasaus[[#This Row],[Kunnallisvero (maksuunpantu), €]]*100/Tasaus[[#This Row],[Tuloveroprosentti 2023]]</f>
        <v>5823861564.5044603</v>
      </c>
      <c r="G39" s="269">
        <f>Tasaus[[#This Row],[Verotettava tulo (kunnallisvero), €]]*($D$11/100)</f>
        <v>429218597.3039788</v>
      </c>
      <c r="H39" s="14">
        <v>85865021.061585575</v>
      </c>
      <c r="I39" s="15">
        <v>54550308.012850001</v>
      </c>
      <c r="J39" s="15">
        <f>SUM(Tasaus[[#This Row],[Laskennallinen kunnallisvero, €]:[Laskennallinen kiinteistövero, €]])</f>
        <v>569633926.37841439</v>
      </c>
      <c r="K39" s="15">
        <f>Tasaus[[#This Row],[Laskennallinen verotulo yhteensä, €]]/Tasaus[[#This Row],[Asukasluku 31.12.2022]]</f>
        <v>2325.3971080347742</v>
      </c>
      <c r="L39" s="34">
        <f>$K$11-Tasaus[[#This Row],[Laskennallinen verotulo yhteensä, €/asukas (=tasausraja)]]</f>
        <v>-181.43710803477416</v>
      </c>
      <c r="M39" s="369">
        <f>IF(Tasaus[[#This Row],[Erotus = tasausraja - laskennallinen verotulo, €/asukas]]&gt;0,(Tasaus[[#This Row],[Erotus = tasausraja - laskennallinen verotulo, €/asukas]]*$B$7),(Tasaus[[#This Row],[Erotus = tasausraja - laskennallinen verotulo, €/asukas]]*$B$8))</f>
        <v>-18.143710803477415</v>
      </c>
      <c r="N39" s="370">
        <f>Tasaus[[#This Row],[Tasaus,  €/asukas]]*Tasaus[[#This Row],[Asukasluku 31.12.2022]]</f>
        <v>-4444519.6858414346</v>
      </c>
      <c r="P39" s="116"/>
      <c r="Q39" s="117"/>
      <c r="R39" s="118"/>
    </row>
    <row r="40" spans="1:18">
      <c r="A40" s="266">
        <v>97</v>
      </c>
      <c r="B40" s="13" t="s">
        <v>406</v>
      </c>
      <c r="C40" s="267">
        <v>2126</v>
      </c>
      <c r="D40" s="268">
        <v>7.3599999999999994</v>
      </c>
      <c r="E40" s="14">
        <v>2556614.7120046392</v>
      </c>
      <c r="F40" s="14">
        <f>Tasaus[[#This Row],[Kunnallisvero (maksuunpantu), €]]*100/Tasaus[[#This Row],[Tuloveroprosentti 2023]]</f>
        <v>34736612.934845641</v>
      </c>
      <c r="G40" s="269">
        <f>Tasaus[[#This Row],[Verotettava tulo (kunnallisvero), €]]*($D$11/100)</f>
        <v>2560088.3732981244</v>
      </c>
      <c r="H40" s="14">
        <v>674009.6066606692</v>
      </c>
      <c r="I40" s="15">
        <v>839854.61405000009</v>
      </c>
      <c r="J40" s="15">
        <f>SUM(Tasaus[[#This Row],[Laskennallinen kunnallisvero, €]:[Laskennallinen kiinteistövero, €]])</f>
        <v>4073952.5940087936</v>
      </c>
      <c r="K40" s="15">
        <f>Tasaus[[#This Row],[Laskennallinen verotulo yhteensä, €]]/Tasaus[[#This Row],[Asukasluku 31.12.2022]]</f>
        <v>1916.2523960530543</v>
      </c>
      <c r="L40" s="34">
        <f>$K$11-Tasaus[[#This Row],[Laskennallinen verotulo yhteensä, €/asukas (=tasausraja)]]</f>
        <v>227.70760394694571</v>
      </c>
      <c r="M40" s="369">
        <f>IF(Tasaus[[#This Row],[Erotus = tasausraja - laskennallinen verotulo, €/asukas]]&gt;0,(Tasaus[[#This Row],[Erotus = tasausraja - laskennallinen verotulo, €/asukas]]*$B$7),(Tasaus[[#This Row],[Erotus = tasausraja - laskennallinen verotulo, €/asukas]]*$B$8))</f>
        <v>204.93684355225113</v>
      </c>
      <c r="N40" s="370">
        <f>Tasaus[[#This Row],[Tasaus,  €/asukas]]*Tasaus[[#This Row],[Asukasluku 31.12.2022]]</f>
        <v>435695.72939208592</v>
      </c>
      <c r="P40" s="116"/>
      <c r="Q40" s="117"/>
      <c r="R40" s="118"/>
    </row>
    <row r="41" spans="1:18">
      <c r="A41" s="266">
        <v>98</v>
      </c>
      <c r="B41" s="13" t="s">
        <v>407</v>
      </c>
      <c r="C41" s="267">
        <v>23007</v>
      </c>
      <c r="D41" s="268">
        <v>8.36</v>
      </c>
      <c r="E41" s="14">
        <v>40578309.779237576</v>
      </c>
      <c r="F41" s="14">
        <f>Tasaus[[#This Row],[Kunnallisvero (maksuunpantu), €]]*100/Tasaus[[#This Row],[Tuloveroprosentti 2023]]</f>
        <v>485386480.61288971</v>
      </c>
      <c r="G41" s="269">
        <f>Tasaus[[#This Row],[Verotettava tulo (kunnallisvero), €]]*($D$11/100)</f>
        <v>35772983.621169977</v>
      </c>
      <c r="H41" s="14">
        <v>3066218.9322065208</v>
      </c>
      <c r="I41" s="15">
        <v>3001579.2166999998</v>
      </c>
      <c r="J41" s="15">
        <f>SUM(Tasaus[[#This Row],[Laskennallinen kunnallisvero, €]:[Laskennallinen kiinteistövero, €]])</f>
        <v>41840781.770076498</v>
      </c>
      <c r="K41" s="15">
        <f>Tasaus[[#This Row],[Laskennallinen verotulo yhteensä, €]]/Tasaus[[#This Row],[Asukasluku 31.12.2022]]</f>
        <v>1818.6109345015211</v>
      </c>
      <c r="L41" s="34">
        <f>$K$11-Tasaus[[#This Row],[Laskennallinen verotulo yhteensä, €/asukas (=tasausraja)]]</f>
        <v>325.34906549847892</v>
      </c>
      <c r="M41" s="369">
        <f>IF(Tasaus[[#This Row],[Erotus = tasausraja - laskennallinen verotulo, €/asukas]]&gt;0,(Tasaus[[#This Row],[Erotus = tasausraja - laskennallinen verotulo, €/asukas]]*$B$7),(Tasaus[[#This Row],[Erotus = tasausraja - laskennallinen verotulo, €/asukas]]*$B$8))</f>
        <v>292.81415894863102</v>
      </c>
      <c r="N41" s="370">
        <f>Tasaus[[#This Row],[Tasaus,  €/asukas]]*Tasaus[[#This Row],[Asukasluku 31.12.2022]]</f>
        <v>6736775.3549311543</v>
      </c>
      <c r="P41" s="116"/>
      <c r="Q41" s="117"/>
      <c r="R41" s="118"/>
    </row>
    <row r="42" spans="1:18">
      <c r="A42" s="266">
        <v>102</v>
      </c>
      <c r="B42" s="13" t="s">
        <v>408</v>
      </c>
      <c r="C42" s="267">
        <v>9724</v>
      </c>
      <c r="D42" s="268">
        <v>8.36</v>
      </c>
      <c r="E42" s="14">
        <v>14363253.667845739</v>
      </c>
      <c r="F42" s="14">
        <f>Tasaus[[#This Row],[Kunnallisvero (maksuunpantu), €]]*100/Tasaus[[#This Row],[Tuloveroprosentti 2023]]</f>
        <v>171809254.40006864</v>
      </c>
      <c r="G42" s="269">
        <f>Tasaus[[#This Row],[Verotettava tulo (kunnallisvero), €]]*($D$11/100)</f>
        <v>12662342.049285062</v>
      </c>
      <c r="H42" s="14">
        <v>2168809.1926380256</v>
      </c>
      <c r="I42" s="15">
        <v>1571700.70625</v>
      </c>
      <c r="J42" s="15">
        <f>SUM(Tasaus[[#This Row],[Laskennallinen kunnallisvero, €]:[Laskennallinen kiinteistövero, €]])</f>
        <v>16402851.948173087</v>
      </c>
      <c r="K42" s="15">
        <f>Tasaus[[#This Row],[Laskennallinen verotulo yhteensä, €]]/Tasaus[[#This Row],[Asukasluku 31.12.2022]]</f>
        <v>1686.842034982835</v>
      </c>
      <c r="L42" s="34">
        <f>$K$11-Tasaus[[#This Row],[Laskennallinen verotulo yhteensä, €/asukas (=tasausraja)]]</f>
        <v>457.11796501716503</v>
      </c>
      <c r="M42" s="369">
        <f>IF(Tasaus[[#This Row],[Erotus = tasausraja - laskennallinen verotulo, €/asukas]]&gt;0,(Tasaus[[#This Row],[Erotus = tasausraja - laskennallinen verotulo, €/asukas]]*$B$7),(Tasaus[[#This Row],[Erotus = tasausraja - laskennallinen verotulo, €/asukas]]*$B$8))</f>
        <v>411.40616851544854</v>
      </c>
      <c r="N42" s="370">
        <f>Tasaus[[#This Row],[Tasaus,  €/asukas]]*Tasaus[[#This Row],[Asukasluku 31.12.2022]]</f>
        <v>4000513.5826442218</v>
      </c>
      <c r="P42" s="116"/>
      <c r="Q42" s="117"/>
      <c r="R42" s="118"/>
    </row>
    <row r="43" spans="1:18">
      <c r="A43" s="266">
        <v>103</v>
      </c>
      <c r="B43" s="13" t="s">
        <v>409</v>
      </c>
      <c r="C43" s="267">
        <v>2126</v>
      </c>
      <c r="D43" s="268">
        <v>9.36</v>
      </c>
      <c r="E43" s="14">
        <v>3340110.8967109798</v>
      </c>
      <c r="F43" s="14">
        <f>Tasaus[[#This Row],[Kunnallisvero (maksuunpantu), €]]*100/Tasaus[[#This Row],[Tuloveroprosentti 2023]]</f>
        <v>35684945.477681413</v>
      </c>
      <c r="G43" s="269">
        <f>Tasaus[[#This Row],[Verotettava tulo (kunnallisvero), €]]*($D$11/100)</f>
        <v>2629980.4817051208</v>
      </c>
      <c r="H43" s="14">
        <v>365752.38202088157</v>
      </c>
      <c r="I43" s="15">
        <v>281600.96984999999</v>
      </c>
      <c r="J43" s="15">
        <f>SUM(Tasaus[[#This Row],[Laskennallinen kunnallisvero, €]:[Laskennallinen kiinteistövero, €]])</f>
        <v>3277333.8335760022</v>
      </c>
      <c r="K43" s="15">
        <f>Tasaus[[#This Row],[Laskennallinen verotulo yhteensä, €]]/Tasaus[[#This Row],[Asukasluku 31.12.2022]]</f>
        <v>1541.5493102427104</v>
      </c>
      <c r="L43" s="34">
        <f>$K$11-Tasaus[[#This Row],[Laskennallinen verotulo yhteensä, €/asukas (=tasausraja)]]</f>
        <v>602.41068975728967</v>
      </c>
      <c r="M43" s="369">
        <f>IF(Tasaus[[#This Row],[Erotus = tasausraja - laskennallinen verotulo, €/asukas]]&gt;0,(Tasaus[[#This Row],[Erotus = tasausraja - laskennallinen verotulo, €/asukas]]*$B$7),(Tasaus[[#This Row],[Erotus = tasausraja - laskennallinen verotulo, €/asukas]]*$B$8))</f>
        <v>542.16962078156075</v>
      </c>
      <c r="N43" s="370">
        <f>Tasaus[[#This Row],[Tasaus,  €/asukas]]*Tasaus[[#This Row],[Asukasluku 31.12.2022]]</f>
        <v>1152652.6137815982</v>
      </c>
      <c r="P43" s="116"/>
      <c r="Q43" s="117"/>
      <c r="R43" s="118"/>
    </row>
    <row r="44" spans="1:18">
      <c r="A44" s="266">
        <v>105</v>
      </c>
      <c r="B44" s="13" t="s">
        <v>410</v>
      </c>
      <c r="C44" s="267">
        <v>2113</v>
      </c>
      <c r="D44" s="268">
        <v>9.11</v>
      </c>
      <c r="E44" s="14">
        <v>2810072.2050051</v>
      </c>
      <c r="F44" s="14">
        <f>Tasaus[[#This Row],[Kunnallisvero (maksuunpantu), €]]*100/Tasaus[[#This Row],[Tuloveroprosentti 2023]]</f>
        <v>30846017.618058179</v>
      </c>
      <c r="G44" s="269">
        <f>Tasaus[[#This Row],[Verotettava tulo (kunnallisvero), €]]*($D$11/100)</f>
        <v>2273351.4984508883</v>
      </c>
      <c r="H44" s="14">
        <v>590587.67620526161</v>
      </c>
      <c r="I44" s="15">
        <v>411633.10970000003</v>
      </c>
      <c r="J44" s="15">
        <f>SUM(Tasaus[[#This Row],[Laskennallinen kunnallisvero, €]:[Laskennallinen kiinteistövero, €]])</f>
        <v>3275572.2843561498</v>
      </c>
      <c r="K44" s="15">
        <f>Tasaus[[#This Row],[Laskennallinen verotulo yhteensä, €]]/Tasaus[[#This Row],[Asukasluku 31.12.2022]]</f>
        <v>1550.1998506181494</v>
      </c>
      <c r="L44" s="34">
        <f>$K$11-Tasaus[[#This Row],[Laskennallinen verotulo yhteensä, €/asukas (=tasausraja)]]</f>
        <v>593.76014938185062</v>
      </c>
      <c r="M44" s="369">
        <f>IF(Tasaus[[#This Row],[Erotus = tasausraja - laskennallinen verotulo, €/asukas]]&gt;0,(Tasaus[[#This Row],[Erotus = tasausraja - laskennallinen verotulo, €/asukas]]*$B$7),(Tasaus[[#This Row],[Erotus = tasausraja - laskennallinen verotulo, €/asukas]]*$B$8))</f>
        <v>534.38413444366563</v>
      </c>
      <c r="N44" s="370">
        <f>Tasaus[[#This Row],[Tasaus,  €/asukas]]*Tasaus[[#This Row],[Asukasluku 31.12.2022]]</f>
        <v>1129153.6760794655</v>
      </c>
      <c r="P44" s="116"/>
      <c r="Q44" s="117"/>
      <c r="R44" s="118"/>
    </row>
    <row r="45" spans="1:18">
      <c r="A45" s="266">
        <v>106</v>
      </c>
      <c r="B45" s="13" t="s">
        <v>411</v>
      </c>
      <c r="C45" s="267">
        <v>46737</v>
      </c>
      <c r="D45" s="268">
        <v>7.610000000000003</v>
      </c>
      <c r="E45" s="14">
        <v>84226923.779636458</v>
      </c>
      <c r="F45" s="14">
        <f>Tasaus[[#This Row],[Kunnallisvero (maksuunpantu), €]]*100/Tasaus[[#This Row],[Tuloveroprosentti 2023]]</f>
        <v>1106792690.9282053</v>
      </c>
      <c r="G45" s="269">
        <f>Tasaus[[#This Row],[Verotettava tulo (kunnallisvero), €]]*($D$11/100)</f>
        <v>81570621.321408749</v>
      </c>
      <c r="H45" s="14">
        <v>12391093.202184267</v>
      </c>
      <c r="I45" s="15">
        <v>7324388.0629500011</v>
      </c>
      <c r="J45" s="15">
        <f>SUM(Tasaus[[#This Row],[Laskennallinen kunnallisvero, €]:[Laskennallinen kiinteistövero, €]])</f>
        <v>101286102.58654301</v>
      </c>
      <c r="K45" s="15">
        <f>Tasaus[[#This Row],[Laskennallinen verotulo yhteensä, €]]/Tasaus[[#This Row],[Asukasluku 31.12.2022]]</f>
        <v>2167.1502789340993</v>
      </c>
      <c r="L45" s="34">
        <f>$K$11-Tasaus[[#This Row],[Laskennallinen verotulo yhteensä, €/asukas (=tasausraja)]]</f>
        <v>-23.190278934099297</v>
      </c>
      <c r="M45" s="369">
        <f>IF(Tasaus[[#This Row],[Erotus = tasausraja - laskennallinen verotulo, €/asukas]]&gt;0,(Tasaus[[#This Row],[Erotus = tasausraja - laskennallinen verotulo, €/asukas]]*$B$7),(Tasaus[[#This Row],[Erotus = tasausraja - laskennallinen verotulo, €/asukas]]*$B$8))</f>
        <v>-2.3190278934099298</v>
      </c>
      <c r="N45" s="370">
        <f>Tasaus[[#This Row],[Tasaus,  €/asukas]]*Tasaus[[#This Row],[Asukasluku 31.12.2022]]</f>
        <v>-108384.40665429989</v>
      </c>
      <c r="P45" s="116"/>
      <c r="Q45" s="117"/>
      <c r="R45" s="118"/>
    </row>
    <row r="46" spans="1:18">
      <c r="A46" s="266">
        <v>108</v>
      </c>
      <c r="B46" s="13" t="s">
        <v>412</v>
      </c>
      <c r="C46" s="267">
        <v>10188</v>
      </c>
      <c r="D46" s="268">
        <v>9.360000000000003</v>
      </c>
      <c r="E46" s="14">
        <v>17884199.169327538</v>
      </c>
      <c r="F46" s="14">
        <f>Tasaus[[#This Row],[Kunnallisvero (maksuunpantu), €]]*100/Tasaus[[#This Row],[Tuloveroprosentti 2023]]</f>
        <v>191070503.94580698</v>
      </c>
      <c r="G46" s="269">
        <f>Tasaus[[#This Row],[Verotettava tulo (kunnallisvero), €]]*($D$11/100)</f>
        <v>14081896.140805978</v>
      </c>
      <c r="H46" s="14">
        <v>2093823.2146721319</v>
      </c>
      <c r="I46" s="15">
        <v>1225626.8746999998</v>
      </c>
      <c r="J46" s="15">
        <f>SUM(Tasaus[[#This Row],[Laskennallinen kunnallisvero, €]:[Laskennallinen kiinteistövero, €]])</f>
        <v>17401346.23017811</v>
      </c>
      <c r="K46" s="15">
        <f>Tasaus[[#This Row],[Laskennallinen verotulo yhteensä, €]]/Tasaus[[#This Row],[Asukasluku 31.12.2022]]</f>
        <v>1708.0237760284756</v>
      </c>
      <c r="L46" s="34">
        <f>$K$11-Tasaus[[#This Row],[Laskennallinen verotulo yhteensä, €/asukas (=tasausraja)]]</f>
        <v>435.93622397152444</v>
      </c>
      <c r="M46" s="369">
        <f>IF(Tasaus[[#This Row],[Erotus = tasausraja - laskennallinen verotulo, €/asukas]]&gt;0,(Tasaus[[#This Row],[Erotus = tasausraja - laskennallinen verotulo, €/asukas]]*$B$7),(Tasaus[[#This Row],[Erotus = tasausraja - laskennallinen verotulo, €/asukas]]*$B$8))</f>
        <v>392.342601574372</v>
      </c>
      <c r="N46" s="370">
        <f>Tasaus[[#This Row],[Tasaus,  €/asukas]]*Tasaus[[#This Row],[Asukasluku 31.12.2022]]</f>
        <v>3997186.424839702</v>
      </c>
      <c r="P46" s="116"/>
      <c r="Q46" s="117"/>
      <c r="R46" s="118"/>
    </row>
    <row r="47" spans="1:18">
      <c r="A47" s="266">
        <v>109</v>
      </c>
      <c r="B47" s="13" t="s">
        <v>413</v>
      </c>
      <c r="C47" s="267">
        <v>67993</v>
      </c>
      <c r="D47" s="268">
        <v>8.36</v>
      </c>
      <c r="E47" s="14">
        <v>121266132.33533484</v>
      </c>
      <c r="F47" s="14">
        <f>Tasaus[[#This Row],[Kunnallisvero (maksuunpantu), €]]*100/Tasaus[[#This Row],[Tuloveroprosentti 2023]]</f>
        <v>1450551822.1930006</v>
      </c>
      <c r="G47" s="269">
        <f>Tasaus[[#This Row],[Verotettava tulo (kunnallisvero), €]]*($D$11/100)</f>
        <v>106905669.29562417</v>
      </c>
      <c r="H47" s="14">
        <v>17380537.790821984</v>
      </c>
      <c r="I47" s="15">
        <v>13037790.706800001</v>
      </c>
      <c r="J47" s="15">
        <f>SUM(Tasaus[[#This Row],[Laskennallinen kunnallisvero, €]:[Laskennallinen kiinteistövero, €]])</f>
        <v>137323997.79324615</v>
      </c>
      <c r="K47" s="15">
        <f>Tasaus[[#This Row],[Laskennallinen verotulo yhteensä, €]]/Tasaus[[#This Row],[Asukasluku 31.12.2022]]</f>
        <v>2019.6784638601937</v>
      </c>
      <c r="L47" s="34">
        <f>$K$11-Tasaus[[#This Row],[Laskennallinen verotulo yhteensä, €/asukas (=tasausraja)]]</f>
        <v>124.28153613980635</v>
      </c>
      <c r="M47" s="369">
        <f>IF(Tasaus[[#This Row],[Erotus = tasausraja - laskennallinen verotulo, €/asukas]]&gt;0,(Tasaus[[#This Row],[Erotus = tasausraja - laskennallinen verotulo, €/asukas]]*$B$7),(Tasaus[[#This Row],[Erotus = tasausraja - laskennallinen verotulo, €/asukas]]*$B$8))</f>
        <v>111.85338252582572</v>
      </c>
      <c r="N47" s="370">
        <f>Tasaus[[#This Row],[Tasaus,  €/asukas]]*Tasaus[[#This Row],[Asukasluku 31.12.2022]]</f>
        <v>7605247.0380784683</v>
      </c>
      <c r="P47" s="116"/>
      <c r="Q47" s="117"/>
      <c r="R47" s="118"/>
    </row>
    <row r="48" spans="1:18">
      <c r="A48" s="266">
        <v>111</v>
      </c>
      <c r="B48" s="13" t="s">
        <v>414</v>
      </c>
      <c r="C48" s="267">
        <v>18046</v>
      </c>
      <c r="D48" s="268">
        <v>7.8599999999999994</v>
      </c>
      <c r="E48" s="14">
        <v>27222563.195114978</v>
      </c>
      <c r="F48" s="14">
        <f>Tasaus[[#This Row],[Kunnallisvero (maksuunpantu), €]]*100/Tasaus[[#This Row],[Tuloveroprosentti 2023]]</f>
        <v>346343043.19484711</v>
      </c>
      <c r="G48" s="269">
        <f>Tasaus[[#This Row],[Verotettava tulo (kunnallisvero), €]]*($D$11/100)</f>
        <v>25525482.283460237</v>
      </c>
      <c r="H48" s="14">
        <v>3074334.3616558583</v>
      </c>
      <c r="I48" s="15">
        <v>3786855.05975</v>
      </c>
      <c r="J48" s="15">
        <f>SUM(Tasaus[[#This Row],[Laskennallinen kunnallisvero, €]:[Laskennallinen kiinteistövero, €]])</f>
        <v>32386671.704866096</v>
      </c>
      <c r="K48" s="15">
        <f>Tasaus[[#This Row],[Laskennallinen verotulo yhteensä, €]]/Tasaus[[#This Row],[Asukasluku 31.12.2022]]</f>
        <v>1794.673152214679</v>
      </c>
      <c r="L48" s="34">
        <f>$K$11-Tasaus[[#This Row],[Laskennallinen verotulo yhteensä, €/asukas (=tasausraja)]]</f>
        <v>349.28684778532102</v>
      </c>
      <c r="M48" s="369">
        <f>IF(Tasaus[[#This Row],[Erotus = tasausraja - laskennallinen verotulo, €/asukas]]&gt;0,(Tasaus[[#This Row],[Erotus = tasausraja - laskennallinen verotulo, €/asukas]]*$B$7),(Tasaus[[#This Row],[Erotus = tasausraja - laskennallinen verotulo, €/asukas]]*$B$8))</f>
        <v>314.35816300678891</v>
      </c>
      <c r="N48" s="370">
        <f>Tasaus[[#This Row],[Tasaus,  €/asukas]]*Tasaus[[#This Row],[Asukasluku 31.12.2022]]</f>
        <v>5672907.4096205123</v>
      </c>
      <c r="P48" s="116"/>
      <c r="Q48" s="117"/>
      <c r="R48" s="118"/>
    </row>
    <row r="49" spans="1:18">
      <c r="A49" s="266">
        <v>139</v>
      </c>
      <c r="B49" s="13" t="s">
        <v>415</v>
      </c>
      <c r="C49" s="267">
        <v>9768</v>
      </c>
      <c r="D49" s="268">
        <v>8.86</v>
      </c>
      <c r="E49" s="14">
        <v>14913706.255994279</v>
      </c>
      <c r="F49" s="14">
        <f>Tasaus[[#This Row],[Kunnallisvero (maksuunpantu), €]]*100/Tasaus[[#This Row],[Tuloveroprosentti 2023]]</f>
        <v>168326255.71099639</v>
      </c>
      <c r="G49" s="269">
        <f>Tasaus[[#This Row],[Verotettava tulo (kunnallisvero), €]]*($D$11/100)</f>
        <v>12405645.045900436</v>
      </c>
      <c r="H49" s="14">
        <v>1325663.5611618522</v>
      </c>
      <c r="I49" s="15">
        <v>1057398.2835500001</v>
      </c>
      <c r="J49" s="15">
        <f>SUM(Tasaus[[#This Row],[Laskennallinen kunnallisvero, €]:[Laskennallinen kiinteistövero, €]])</f>
        <v>14788706.890612287</v>
      </c>
      <c r="K49" s="15">
        <f>Tasaus[[#This Row],[Laskennallinen verotulo yhteensä, €]]/Tasaus[[#This Row],[Asukasluku 31.12.2022]]</f>
        <v>1513.9953819218149</v>
      </c>
      <c r="L49" s="34">
        <f>$K$11-Tasaus[[#This Row],[Laskennallinen verotulo yhteensä, €/asukas (=tasausraja)]]</f>
        <v>629.96461807818514</v>
      </c>
      <c r="M49" s="369">
        <f>IF(Tasaus[[#This Row],[Erotus = tasausraja - laskennallinen verotulo, €/asukas]]&gt;0,(Tasaus[[#This Row],[Erotus = tasausraja - laskennallinen verotulo, €/asukas]]*$B$7),(Tasaus[[#This Row],[Erotus = tasausraja - laskennallinen verotulo, €/asukas]]*$B$8))</f>
        <v>566.96815627036665</v>
      </c>
      <c r="N49" s="370">
        <f>Tasaus[[#This Row],[Tasaus,  €/asukas]]*Tasaus[[#This Row],[Asukasluku 31.12.2022]]</f>
        <v>5538144.9504489414</v>
      </c>
      <c r="P49" s="116"/>
      <c r="Q49" s="117"/>
      <c r="R49" s="118"/>
    </row>
    <row r="50" spans="1:18">
      <c r="A50" s="266">
        <v>140</v>
      </c>
      <c r="B50" s="13" t="s">
        <v>416</v>
      </c>
      <c r="C50" s="267">
        <v>20789</v>
      </c>
      <c r="D50" s="268">
        <v>7.8599999999999994</v>
      </c>
      <c r="E50" s="14">
        <v>29854781.585537791</v>
      </c>
      <c r="F50" s="14">
        <f>Tasaus[[#This Row],[Kunnallisvero (maksuunpantu), €]]*100/Tasaus[[#This Row],[Tuloveroprosentti 2023]]</f>
        <v>379831826.78801262</v>
      </c>
      <c r="G50" s="269">
        <f>Tasaus[[#This Row],[Verotettava tulo (kunnallisvero), €]]*($D$11/100)</f>
        <v>27993605.634276535</v>
      </c>
      <c r="H50" s="14">
        <v>5178283.5593929784</v>
      </c>
      <c r="I50" s="15">
        <v>3165899.1136999996</v>
      </c>
      <c r="J50" s="15">
        <f>SUM(Tasaus[[#This Row],[Laskennallinen kunnallisvero, €]:[Laskennallinen kiinteistövero, €]])</f>
        <v>36337788.307369515</v>
      </c>
      <c r="K50" s="15">
        <f>Tasaus[[#This Row],[Laskennallinen verotulo yhteensä, €]]/Tasaus[[#This Row],[Asukasluku 31.12.2022]]</f>
        <v>1747.9334411164325</v>
      </c>
      <c r="L50" s="34">
        <f>$K$11-Tasaus[[#This Row],[Laskennallinen verotulo yhteensä, €/asukas (=tasausraja)]]</f>
        <v>396.02655888356753</v>
      </c>
      <c r="M50" s="369">
        <f>IF(Tasaus[[#This Row],[Erotus = tasausraja - laskennallinen verotulo, €/asukas]]&gt;0,(Tasaus[[#This Row],[Erotus = tasausraja - laskennallinen verotulo, €/asukas]]*$B$7),(Tasaus[[#This Row],[Erotus = tasausraja - laskennallinen verotulo, €/asukas]]*$B$8))</f>
        <v>356.42390299521077</v>
      </c>
      <c r="N50" s="370">
        <f>Tasaus[[#This Row],[Tasaus,  €/asukas]]*Tasaus[[#This Row],[Asukasluku 31.12.2022]]</f>
        <v>7409696.5193674369</v>
      </c>
      <c r="P50" s="116"/>
      <c r="Q50" s="117"/>
      <c r="R50" s="118"/>
    </row>
    <row r="51" spans="1:18">
      <c r="A51" s="266">
        <v>142</v>
      </c>
      <c r="B51" s="13" t="s">
        <v>417</v>
      </c>
      <c r="C51" s="267">
        <v>6514</v>
      </c>
      <c r="D51" s="268">
        <v>8.61</v>
      </c>
      <c r="E51" s="14">
        <v>9943825.7419606708</v>
      </c>
      <c r="F51" s="14">
        <f>Tasaus[[#This Row],[Kunnallisvero (maksuunpantu), €]]*100/Tasaus[[#This Row],[Tuloveroprosentti 2023]]</f>
        <v>115491588.17608213</v>
      </c>
      <c r="G51" s="269">
        <f>Tasaus[[#This Row],[Verotettava tulo (kunnallisvero), €]]*($D$11/100)</f>
        <v>8511730.0485772546</v>
      </c>
      <c r="H51" s="14">
        <v>962608.33073048468</v>
      </c>
      <c r="I51" s="15">
        <v>1322262.8414499999</v>
      </c>
      <c r="J51" s="15">
        <f>SUM(Tasaus[[#This Row],[Laskennallinen kunnallisvero, €]:[Laskennallinen kiinteistövero, €]])</f>
        <v>10796601.22075774</v>
      </c>
      <c r="K51" s="15">
        <f>Tasaus[[#This Row],[Laskennallinen verotulo yhteensä, €]]/Tasaus[[#This Row],[Asukasluku 31.12.2022]]</f>
        <v>1657.4456894009425</v>
      </c>
      <c r="L51" s="34">
        <f>$K$11-Tasaus[[#This Row],[Laskennallinen verotulo yhteensä, €/asukas (=tasausraja)]]</f>
        <v>486.51431059905758</v>
      </c>
      <c r="M51" s="369">
        <f>IF(Tasaus[[#This Row],[Erotus = tasausraja - laskennallinen verotulo, €/asukas]]&gt;0,(Tasaus[[#This Row],[Erotus = tasausraja - laskennallinen verotulo, €/asukas]]*$B$7),(Tasaus[[#This Row],[Erotus = tasausraja - laskennallinen verotulo, €/asukas]]*$B$8))</f>
        <v>437.86287953915183</v>
      </c>
      <c r="N51" s="370">
        <f>Tasaus[[#This Row],[Tasaus,  €/asukas]]*Tasaus[[#This Row],[Asukasluku 31.12.2022]]</f>
        <v>2852238.7973180353</v>
      </c>
      <c r="P51" s="116"/>
      <c r="Q51" s="117"/>
      <c r="R51" s="118"/>
    </row>
    <row r="52" spans="1:18">
      <c r="A52" s="266">
        <v>143</v>
      </c>
      <c r="B52" s="13" t="s">
        <v>418</v>
      </c>
      <c r="C52" s="267">
        <v>6749</v>
      </c>
      <c r="D52" s="268">
        <v>9.36</v>
      </c>
      <c r="E52" s="14">
        <v>10589753.943117579</v>
      </c>
      <c r="F52" s="14">
        <f>Tasaus[[#This Row],[Kunnallisvero (maksuunpantu), €]]*100/Tasaus[[#This Row],[Tuloveroprosentti 2023]]</f>
        <v>113138396.82817927</v>
      </c>
      <c r="G52" s="269">
        <f>Tasaus[[#This Row],[Verotettava tulo (kunnallisvero), €]]*($D$11/100)</f>
        <v>8338299.8462368138</v>
      </c>
      <c r="H52" s="14">
        <v>1711157.0641911402</v>
      </c>
      <c r="I52" s="15">
        <v>1380977.8830000001</v>
      </c>
      <c r="J52" s="15">
        <f>SUM(Tasaus[[#This Row],[Laskennallinen kunnallisvero, €]:[Laskennallinen kiinteistövero, €]])</f>
        <v>11430434.793427953</v>
      </c>
      <c r="K52" s="15">
        <f>Tasaus[[#This Row],[Laskennallinen verotulo yhteensä, €]]/Tasaus[[#This Row],[Asukasluku 31.12.2022]]</f>
        <v>1693.6486580868209</v>
      </c>
      <c r="L52" s="34">
        <f>$K$11-Tasaus[[#This Row],[Laskennallinen verotulo yhteensä, €/asukas (=tasausraja)]]</f>
        <v>450.31134191317915</v>
      </c>
      <c r="M52" s="369">
        <f>IF(Tasaus[[#This Row],[Erotus = tasausraja - laskennallinen verotulo, €/asukas]]&gt;0,(Tasaus[[#This Row],[Erotus = tasausraja - laskennallinen verotulo, €/asukas]]*$B$7),(Tasaus[[#This Row],[Erotus = tasausraja - laskennallinen verotulo, €/asukas]]*$B$8))</f>
        <v>405.28020772186125</v>
      </c>
      <c r="N52" s="370">
        <f>Tasaus[[#This Row],[Tasaus,  €/asukas]]*Tasaus[[#This Row],[Asukasluku 31.12.2022]]</f>
        <v>2735236.1219148417</v>
      </c>
      <c r="P52" s="116"/>
      <c r="Q52" s="117"/>
      <c r="R52" s="118"/>
    </row>
    <row r="53" spans="1:18">
      <c r="A53" s="266">
        <v>145</v>
      </c>
      <c r="B53" s="13" t="s">
        <v>419</v>
      </c>
      <c r="C53" s="267">
        <v>12377</v>
      </c>
      <c r="D53" s="268">
        <v>8.36</v>
      </c>
      <c r="E53" s="14">
        <v>19193759.658821724</v>
      </c>
      <c r="F53" s="14">
        <f>Tasaus[[#This Row],[Kunnallisvero (maksuunpantu), €]]*100/Tasaus[[#This Row],[Tuloveroprosentti 2023]]</f>
        <v>229590426.54092973</v>
      </c>
      <c r="G53" s="269">
        <f>Tasaus[[#This Row],[Verotettava tulo (kunnallisvero), €]]*($D$11/100)</f>
        <v>16920814.436066523</v>
      </c>
      <c r="H53" s="14">
        <v>1629472.3759903118</v>
      </c>
      <c r="I53" s="15">
        <v>1442368.7427999999</v>
      </c>
      <c r="J53" s="15">
        <f>SUM(Tasaus[[#This Row],[Laskennallinen kunnallisvero, €]:[Laskennallinen kiinteistövero, €]])</f>
        <v>19992655.554856837</v>
      </c>
      <c r="K53" s="15">
        <f>Tasaus[[#This Row],[Laskennallinen verotulo yhteensä, €]]/Tasaus[[#This Row],[Asukasluku 31.12.2022]]</f>
        <v>1615.3070659171719</v>
      </c>
      <c r="L53" s="34">
        <f>$K$11-Tasaus[[#This Row],[Laskennallinen verotulo yhteensä, €/asukas (=tasausraja)]]</f>
        <v>528.6529340828281</v>
      </c>
      <c r="M53" s="369">
        <f>IF(Tasaus[[#This Row],[Erotus = tasausraja - laskennallinen verotulo, €/asukas]]&gt;0,(Tasaus[[#This Row],[Erotus = tasausraja - laskennallinen verotulo, €/asukas]]*$B$7),(Tasaus[[#This Row],[Erotus = tasausraja - laskennallinen verotulo, €/asukas]]*$B$8))</f>
        <v>475.78764067454529</v>
      </c>
      <c r="N53" s="370">
        <f>Tasaus[[#This Row],[Tasaus,  €/asukas]]*Tasaus[[#This Row],[Asukasluku 31.12.2022]]</f>
        <v>5888823.6286288472</v>
      </c>
      <c r="P53" s="116"/>
      <c r="Q53" s="117"/>
      <c r="R53" s="118"/>
    </row>
    <row r="54" spans="1:18">
      <c r="A54" s="266">
        <v>146</v>
      </c>
      <c r="B54" s="13" t="s">
        <v>420</v>
      </c>
      <c r="C54" s="267">
        <v>4536</v>
      </c>
      <c r="D54" s="268">
        <v>8.36</v>
      </c>
      <c r="E54" s="14">
        <v>5678766.6170512894</v>
      </c>
      <c r="F54" s="14">
        <f>Tasaus[[#This Row],[Kunnallisvero (maksuunpantu), €]]*100/Tasaus[[#This Row],[Tuloveroprosentti 2023]]</f>
        <v>67927830.347503468</v>
      </c>
      <c r="G54" s="269">
        <f>Tasaus[[#This Row],[Verotettava tulo (kunnallisvero), €]]*($D$11/100)</f>
        <v>5006281.0966110071</v>
      </c>
      <c r="H54" s="14">
        <v>2289622.2196829985</v>
      </c>
      <c r="I54" s="15">
        <v>835973.47109999997</v>
      </c>
      <c r="J54" s="15">
        <f>SUM(Tasaus[[#This Row],[Laskennallinen kunnallisvero, €]:[Laskennallinen kiinteistövero, €]])</f>
        <v>8131876.7873940049</v>
      </c>
      <c r="K54" s="15">
        <f>Tasaus[[#This Row],[Laskennallinen verotulo yhteensä, €]]/Tasaus[[#This Row],[Asukasluku 31.12.2022]]</f>
        <v>1792.7417961626995</v>
      </c>
      <c r="L54" s="34">
        <f>$K$11-Tasaus[[#This Row],[Laskennallinen verotulo yhteensä, €/asukas (=tasausraja)]]</f>
        <v>351.21820383730051</v>
      </c>
      <c r="M54" s="369">
        <f>IF(Tasaus[[#This Row],[Erotus = tasausraja - laskennallinen verotulo, €/asukas]]&gt;0,(Tasaus[[#This Row],[Erotus = tasausraja - laskennallinen verotulo, €/asukas]]*$B$7),(Tasaus[[#This Row],[Erotus = tasausraja - laskennallinen verotulo, €/asukas]]*$B$8))</f>
        <v>316.09638345357047</v>
      </c>
      <c r="N54" s="370">
        <f>Tasaus[[#This Row],[Tasaus,  €/asukas]]*Tasaus[[#This Row],[Asukasluku 31.12.2022]]</f>
        <v>1433813.1953453957</v>
      </c>
      <c r="P54" s="116"/>
      <c r="Q54" s="117"/>
      <c r="R54" s="118"/>
    </row>
    <row r="55" spans="1:18">
      <c r="A55" s="266">
        <v>148</v>
      </c>
      <c r="B55" s="13" t="s">
        <v>421</v>
      </c>
      <c r="C55" s="267">
        <v>6878</v>
      </c>
      <c r="D55" s="268">
        <v>6.3599999999999994</v>
      </c>
      <c r="E55" s="14">
        <v>9027277.9224753994</v>
      </c>
      <c r="F55" s="14">
        <f>Tasaus[[#This Row],[Kunnallisvero (maksuunpantu), €]]*100/Tasaus[[#This Row],[Tuloveroprosentti 2023]]</f>
        <v>141938332.11439309</v>
      </c>
      <c r="G55" s="269">
        <f>Tasaus[[#This Row],[Verotettava tulo (kunnallisvero), €]]*($D$11/100)</f>
        <v>10460855.076830773</v>
      </c>
      <c r="H55" s="14">
        <v>1981107.3594349679</v>
      </c>
      <c r="I55" s="15">
        <v>2437266.95095</v>
      </c>
      <c r="J55" s="15">
        <f>SUM(Tasaus[[#This Row],[Laskennallinen kunnallisvero, €]:[Laskennallinen kiinteistövero, €]])</f>
        <v>14879229.387215741</v>
      </c>
      <c r="K55" s="15">
        <f>Tasaus[[#This Row],[Laskennallinen verotulo yhteensä, €]]/Tasaus[[#This Row],[Asukasluku 31.12.2022]]</f>
        <v>2163.3075584785897</v>
      </c>
      <c r="L55" s="34">
        <f>$K$11-Tasaus[[#This Row],[Laskennallinen verotulo yhteensä, €/asukas (=tasausraja)]]</f>
        <v>-19.34755847858969</v>
      </c>
      <c r="M55" s="369">
        <f>IF(Tasaus[[#This Row],[Erotus = tasausraja - laskennallinen verotulo, €/asukas]]&gt;0,(Tasaus[[#This Row],[Erotus = tasausraja - laskennallinen verotulo, €/asukas]]*$B$7),(Tasaus[[#This Row],[Erotus = tasausraja - laskennallinen verotulo, €/asukas]]*$B$8))</f>
        <v>-1.934755847858969</v>
      </c>
      <c r="N55" s="370">
        <f>Tasaus[[#This Row],[Tasaus,  €/asukas]]*Tasaus[[#This Row],[Asukasluku 31.12.2022]]</f>
        <v>-13307.25072157399</v>
      </c>
      <c r="P55" s="116"/>
      <c r="Q55" s="117"/>
      <c r="R55" s="118"/>
    </row>
    <row r="56" spans="1:18">
      <c r="A56" s="266">
        <v>149</v>
      </c>
      <c r="B56" s="13" t="s">
        <v>422</v>
      </c>
      <c r="C56" s="267">
        <v>5244</v>
      </c>
      <c r="D56" s="268">
        <v>8.11</v>
      </c>
      <c r="E56" s="14">
        <v>10335212.5264122</v>
      </c>
      <c r="F56" s="14">
        <f>Tasaus[[#This Row],[Kunnallisvero (maksuunpantu), €]]*100/Tasaus[[#This Row],[Tuloveroprosentti 2023]]</f>
        <v>127437885.65243158</v>
      </c>
      <c r="G56" s="269">
        <f>Tasaus[[#This Row],[Verotettava tulo (kunnallisvero), €]]*($D$11/100)</f>
        <v>9392172.1725842096</v>
      </c>
      <c r="H56" s="14">
        <v>948498.67782036203</v>
      </c>
      <c r="I56" s="15">
        <v>1447667.1685000001</v>
      </c>
      <c r="J56" s="15">
        <f>SUM(Tasaus[[#This Row],[Laskennallinen kunnallisvero, €]:[Laskennallinen kiinteistövero, €]])</f>
        <v>11788338.018904572</v>
      </c>
      <c r="K56" s="15">
        <f>Tasaus[[#This Row],[Laskennallinen verotulo yhteensä, €]]/Tasaus[[#This Row],[Asukasluku 31.12.2022]]</f>
        <v>2247.9668228269588</v>
      </c>
      <c r="L56" s="34">
        <f>$K$11-Tasaus[[#This Row],[Laskennallinen verotulo yhteensä, €/asukas (=tasausraja)]]</f>
        <v>-104.0068228269588</v>
      </c>
      <c r="M56" s="369">
        <f>IF(Tasaus[[#This Row],[Erotus = tasausraja - laskennallinen verotulo, €/asukas]]&gt;0,(Tasaus[[#This Row],[Erotus = tasausraja - laskennallinen verotulo, €/asukas]]*$B$7),(Tasaus[[#This Row],[Erotus = tasausraja - laskennallinen verotulo, €/asukas]]*$B$8))</f>
        <v>-10.400682282695881</v>
      </c>
      <c r="N56" s="370">
        <f>Tasaus[[#This Row],[Tasaus,  €/asukas]]*Tasaus[[#This Row],[Asukasluku 31.12.2022]]</f>
        <v>-54541.177890457198</v>
      </c>
      <c r="P56" s="116"/>
      <c r="Q56" s="117"/>
      <c r="R56" s="118"/>
    </row>
    <row r="57" spans="1:18">
      <c r="A57" s="266">
        <v>151</v>
      </c>
      <c r="B57" s="13" t="s">
        <v>423</v>
      </c>
      <c r="C57" s="267">
        <v>1854</v>
      </c>
      <c r="D57" s="268">
        <v>9.86</v>
      </c>
      <c r="E57" s="14">
        <v>2795168.25406245</v>
      </c>
      <c r="F57" s="14">
        <f>Tasaus[[#This Row],[Kunnallisvero (maksuunpantu), €]]*100/Tasaus[[#This Row],[Tuloveroprosentti 2023]]</f>
        <v>28348562.414426472</v>
      </c>
      <c r="G57" s="269">
        <f>Tasaus[[#This Row],[Verotettava tulo (kunnallisvero), €]]*($D$11/100)</f>
        <v>2089289.0499432315</v>
      </c>
      <c r="H57" s="14">
        <v>858514.69281055499</v>
      </c>
      <c r="I57" s="15">
        <v>316746.75399999996</v>
      </c>
      <c r="J57" s="15">
        <f>SUM(Tasaus[[#This Row],[Laskennallinen kunnallisvero, €]:[Laskennallinen kiinteistövero, €]])</f>
        <v>3264550.4967537867</v>
      </c>
      <c r="K57" s="15">
        <f>Tasaus[[#This Row],[Laskennallinen verotulo yhteensä, €]]/Tasaus[[#This Row],[Asukasluku 31.12.2022]]</f>
        <v>1760.8147231681698</v>
      </c>
      <c r="L57" s="34">
        <f>$K$11-Tasaus[[#This Row],[Laskennallinen verotulo yhteensä, €/asukas (=tasausraja)]]</f>
        <v>383.14527683183019</v>
      </c>
      <c r="M57" s="369">
        <f>IF(Tasaus[[#This Row],[Erotus = tasausraja - laskennallinen verotulo, €/asukas]]&gt;0,(Tasaus[[#This Row],[Erotus = tasausraja - laskennallinen verotulo, €/asukas]]*$B$7),(Tasaus[[#This Row],[Erotus = tasausraja - laskennallinen verotulo, €/asukas]]*$B$8))</f>
        <v>344.83074914864716</v>
      </c>
      <c r="N57" s="370">
        <f>Tasaus[[#This Row],[Tasaus,  €/asukas]]*Tasaus[[#This Row],[Asukasluku 31.12.2022]]</f>
        <v>639316.20892159187</v>
      </c>
      <c r="P57" s="116"/>
      <c r="Q57" s="117"/>
      <c r="R57" s="118"/>
    </row>
    <row r="58" spans="1:18">
      <c r="A58" s="266">
        <v>152</v>
      </c>
      <c r="B58" s="13" t="s">
        <v>424</v>
      </c>
      <c r="C58" s="267">
        <v>4364</v>
      </c>
      <c r="D58" s="268">
        <v>8.86</v>
      </c>
      <c r="E58" s="14">
        <v>6856359.3954714593</v>
      </c>
      <c r="F58" s="14">
        <f>Tasaus[[#This Row],[Kunnallisvero (maksuunpantu), €]]*100/Tasaus[[#This Row],[Tuloveroprosentti 2023]]</f>
        <v>77385546.224282846</v>
      </c>
      <c r="G58" s="269">
        <f>Tasaus[[#This Row],[Verotettava tulo (kunnallisvero), €]]*($D$11/100)</f>
        <v>5703314.7567296466</v>
      </c>
      <c r="H58" s="14">
        <v>772114.36931783776</v>
      </c>
      <c r="I58" s="15">
        <v>489694.33929999999</v>
      </c>
      <c r="J58" s="15">
        <f>SUM(Tasaus[[#This Row],[Laskennallinen kunnallisvero, €]:[Laskennallinen kiinteistövero, €]])</f>
        <v>6965123.4653474847</v>
      </c>
      <c r="K58" s="15">
        <f>Tasaus[[#This Row],[Laskennallinen verotulo yhteensä, €]]/Tasaus[[#This Row],[Asukasluku 31.12.2022]]</f>
        <v>1596.0411240484611</v>
      </c>
      <c r="L58" s="34">
        <f>$K$11-Tasaus[[#This Row],[Laskennallinen verotulo yhteensä, €/asukas (=tasausraja)]]</f>
        <v>547.91887595153889</v>
      </c>
      <c r="M58" s="369">
        <f>IF(Tasaus[[#This Row],[Erotus = tasausraja - laskennallinen verotulo, €/asukas]]&gt;0,(Tasaus[[#This Row],[Erotus = tasausraja - laskennallinen verotulo, €/asukas]]*$B$7),(Tasaus[[#This Row],[Erotus = tasausraja - laskennallinen verotulo, €/asukas]]*$B$8))</f>
        <v>493.12698835638503</v>
      </c>
      <c r="N58" s="370">
        <f>Tasaus[[#This Row],[Tasaus,  €/asukas]]*Tasaus[[#This Row],[Asukasluku 31.12.2022]]</f>
        <v>2152006.1771872644</v>
      </c>
      <c r="P58" s="116"/>
      <c r="Q58" s="117"/>
      <c r="R58" s="118"/>
    </row>
    <row r="59" spans="1:18">
      <c r="A59" s="266">
        <v>153</v>
      </c>
      <c r="B59" s="13" t="s">
        <v>425</v>
      </c>
      <c r="C59" s="267">
        <v>25393</v>
      </c>
      <c r="D59" s="268">
        <v>7.3599999999999994</v>
      </c>
      <c r="E59" s="14">
        <v>37375495.885149799</v>
      </c>
      <c r="F59" s="14">
        <f>Tasaus[[#This Row],[Kunnallisvero (maksuunpantu), €]]*100/Tasaus[[#This Row],[Tuloveroprosentti 2023]]</f>
        <v>507819237.56997013</v>
      </c>
      <c r="G59" s="269">
        <f>Tasaus[[#This Row],[Verotettava tulo (kunnallisvero), €]]*($D$11/100)</f>
        <v>37426277.808906808</v>
      </c>
      <c r="H59" s="14">
        <v>3785508.0431210203</v>
      </c>
      <c r="I59" s="15">
        <v>4096373.9965000004</v>
      </c>
      <c r="J59" s="15">
        <f>SUM(Tasaus[[#This Row],[Laskennallinen kunnallisvero, €]:[Laskennallinen kiinteistövero, €]])</f>
        <v>45308159.848527826</v>
      </c>
      <c r="K59" s="15">
        <f>Tasaus[[#This Row],[Laskennallinen verotulo yhteensä, €]]/Tasaus[[#This Row],[Asukasluku 31.12.2022]]</f>
        <v>1784.2775508418788</v>
      </c>
      <c r="L59" s="34">
        <f>$K$11-Tasaus[[#This Row],[Laskennallinen verotulo yhteensä, €/asukas (=tasausraja)]]</f>
        <v>359.68244915812124</v>
      </c>
      <c r="M59" s="369">
        <f>IF(Tasaus[[#This Row],[Erotus = tasausraja - laskennallinen verotulo, €/asukas]]&gt;0,(Tasaus[[#This Row],[Erotus = tasausraja - laskennallinen verotulo, €/asukas]]*$B$7),(Tasaus[[#This Row],[Erotus = tasausraja - laskennallinen verotulo, €/asukas]]*$B$8))</f>
        <v>323.71420424230911</v>
      </c>
      <c r="N59" s="370">
        <f>Tasaus[[#This Row],[Tasaus,  €/asukas]]*Tasaus[[#This Row],[Asukasluku 31.12.2022]]</f>
        <v>8220074.7883249549</v>
      </c>
      <c r="P59" s="116"/>
      <c r="Q59" s="117"/>
      <c r="R59" s="118"/>
    </row>
    <row r="60" spans="1:18">
      <c r="A60" s="266">
        <v>165</v>
      </c>
      <c r="B60" s="13" t="s">
        <v>426</v>
      </c>
      <c r="C60" s="267">
        <v>15995</v>
      </c>
      <c r="D60" s="268">
        <v>8.36</v>
      </c>
      <c r="E60" s="14">
        <v>28097199.29801001</v>
      </c>
      <c r="F60" s="14">
        <f>Tasaus[[#This Row],[Kunnallisvero (maksuunpantu), €]]*100/Tasaus[[#This Row],[Tuloveroprosentti 2023]]</f>
        <v>336090900.69389969</v>
      </c>
      <c r="G60" s="269">
        <f>Tasaus[[#This Row],[Verotettava tulo (kunnallisvero), €]]*($D$11/100)</f>
        <v>24769899.381140411</v>
      </c>
      <c r="H60" s="14">
        <v>2871302.0110283135</v>
      </c>
      <c r="I60" s="15">
        <v>2274394.8073</v>
      </c>
      <c r="J60" s="15">
        <f>SUM(Tasaus[[#This Row],[Laskennallinen kunnallisvero, €]:[Laskennallinen kiinteistövero, €]])</f>
        <v>29915596.199468724</v>
      </c>
      <c r="K60" s="15">
        <f>Tasaus[[#This Row],[Laskennallinen verotulo yhteensä, €]]/Tasaus[[#This Row],[Asukasluku 31.12.2022]]</f>
        <v>1870.3092341024524</v>
      </c>
      <c r="L60" s="34">
        <f>$K$11-Tasaus[[#This Row],[Laskennallinen verotulo yhteensä, €/asukas (=tasausraja)]]</f>
        <v>273.65076589754767</v>
      </c>
      <c r="M60" s="369">
        <f>IF(Tasaus[[#This Row],[Erotus = tasausraja - laskennallinen verotulo, €/asukas]]&gt;0,(Tasaus[[#This Row],[Erotus = tasausraja - laskennallinen verotulo, €/asukas]]*$B$7),(Tasaus[[#This Row],[Erotus = tasausraja - laskennallinen verotulo, €/asukas]]*$B$8))</f>
        <v>246.28568930779292</v>
      </c>
      <c r="N60" s="370">
        <f>Tasaus[[#This Row],[Tasaus,  €/asukas]]*Tasaus[[#This Row],[Asukasluku 31.12.2022]]</f>
        <v>3939339.6004781476</v>
      </c>
      <c r="P60" s="116"/>
      <c r="Q60" s="117"/>
      <c r="R60" s="118"/>
    </row>
    <row r="61" spans="1:18">
      <c r="A61" s="266">
        <v>167</v>
      </c>
      <c r="B61" s="13" t="s">
        <v>427</v>
      </c>
      <c r="C61" s="267">
        <v>77477</v>
      </c>
      <c r="D61" s="268">
        <v>7.8599999999999994</v>
      </c>
      <c r="E61" s="14">
        <v>109813936.43100257</v>
      </c>
      <c r="F61" s="14">
        <f>Tasaus[[#This Row],[Kunnallisvero (maksuunpantu), €]]*100/Tasaus[[#This Row],[Tuloveroprosentti 2023]]</f>
        <v>1397123873.1679718</v>
      </c>
      <c r="G61" s="269">
        <f>Tasaus[[#This Row],[Verotettava tulo (kunnallisvero), €]]*($D$11/100)</f>
        <v>102968029.45247954</v>
      </c>
      <c r="H61" s="14">
        <v>24677501.145094816</v>
      </c>
      <c r="I61" s="15">
        <v>12565241.799600001</v>
      </c>
      <c r="J61" s="15">
        <f>SUM(Tasaus[[#This Row],[Laskennallinen kunnallisvero, €]:[Laskennallinen kiinteistövero, €]])</f>
        <v>140210772.39717436</v>
      </c>
      <c r="K61" s="15">
        <f>Tasaus[[#This Row],[Laskennallinen verotulo yhteensä, €]]/Tasaus[[#This Row],[Asukasluku 31.12.2022]]</f>
        <v>1809.708331468363</v>
      </c>
      <c r="L61" s="34">
        <f>$K$11-Tasaus[[#This Row],[Laskennallinen verotulo yhteensä, €/asukas (=tasausraja)]]</f>
        <v>334.25166853163705</v>
      </c>
      <c r="M61" s="369">
        <f>IF(Tasaus[[#This Row],[Erotus = tasausraja - laskennallinen verotulo, €/asukas]]&gt;0,(Tasaus[[#This Row],[Erotus = tasausraja - laskennallinen verotulo, €/asukas]]*$B$7),(Tasaus[[#This Row],[Erotus = tasausraja - laskennallinen verotulo, €/asukas]]*$B$8))</f>
        <v>300.82650167847333</v>
      </c>
      <c r="N61" s="370">
        <f>Tasaus[[#This Row],[Tasaus,  €/asukas]]*Tasaus[[#This Row],[Asukasluku 31.12.2022]]</f>
        <v>23307134.870543078</v>
      </c>
      <c r="P61" s="116"/>
      <c r="Q61" s="117"/>
      <c r="R61" s="118"/>
    </row>
    <row r="62" spans="1:18">
      <c r="A62" s="266">
        <v>169</v>
      </c>
      <c r="B62" s="13" t="s">
        <v>428</v>
      </c>
      <c r="C62" s="267">
        <v>4937</v>
      </c>
      <c r="D62" s="268">
        <v>8.6099999999999959</v>
      </c>
      <c r="E62" s="14">
        <v>8349825.6069003996</v>
      </c>
      <c r="F62" s="14">
        <f>Tasaus[[#This Row],[Kunnallisvero (maksuunpantu), €]]*100/Tasaus[[#This Row],[Tuloveroprosentti 2023]]</f>
        <v>96978230.045300856</v>
      </c>
      <c r="G62" s="269">
        <f>Tasaus[[#This Row],[Verotettava tulo (kunnallisvero), €]]*($D$11/100)</f>
        <v>7147295.554338675</v>
      </c>
      <c r="H62" s="14">
        <v>635245.8673852405</v>
      </c>
      <c r="I62" s="15">
        <v>597605.48410000012</v>
      </c>
      <c r="J62" s="15">
        <f>SUM(Tasaus[[#This Row],[Laskennallinen kunnallisvero, €]:[Laskennallinen kiinteistövero, €]])</f>
        <v>8380146.9058239153</v>
      </c>
      <c r="K62" s="15">
        <f>Tasaus[[#This Row],[Laskennallinen verotulo yhteensä, €]]/Tasaus[[#This Row],[Asukasluku 31.12.2022]]</f>
        <v>1697.4168332639083</v>
      </c>
      <c r="L62" s="34">
        <f>$K$11-Tasaus[[#This Row],[Laskennallinen verotulo yhteensä, €/asukas (=tasausraja)]]</f>
        <v>446.54316673609173</v>
      </c>
      <c r="M62" s="369">
        <f>IF(Tasaus[[#This Row],[Erotus = tasausraja - laskennallinen verotulo, €/asukas]]&gt;0,(Tasaus[[#This Row],[Erotus = tasausraja - laskennallinen verotulo, €/asukas]]*$B$7),(Tasaus[[#This Row],[Erotus = tasausraja - laskennallinen verotulo, €/asukas]]*$B$8))</f>
        <v>401.88885006248256</v>
      </c>
      <c r="N62" s="370">
        <f>Tasaus[[#This Row],[Tasaus,  €/asukas]]*Tasaus[[#This Row],[Asukasluku 31.12.2022]]</f>
        <v>1984125.2527584764</v>
      </c>
      <c r="P62" s="116"/>
      <c r="Q62" s="117"/>
      <c r="R62" s="118"/>
    </row>
    <row r="63" spans="1:18">
      <c r="A63" s="266">
        <v>171</v>
      </c>
      <c r="B63" s="13" t="s">
        <v>429</v>
      </c>
      <c r="C63" s="267">
        <v>4544</v>
      </c>
      <c r="D63" s="268">
        <v>8.61</v>
      </c>
      <c r="E63" s="14">
        <v>7107468.3871112596</v>
      </c>
      <c r="F63" s="14">
        <f>Tasaus[[#This Row],[Kunnallisvero (maksuunpantu), €]]*100/Tasaus[[#This Row],[Tuloveroprosentti 2023]]</f>
        <v>82548994.043104067</v>
      </c>
      <c r="G63" s="269">
        <f>Tasaus[[#This Row],[Verotettava tulo (kunnallisvero), €]]*($D$11/100)</f>
        <v>6083860.8609767715</v>
      </c>
      <c r="H63" s="14">
        <v>1247196.2751238043</v>
      </c>
      <c r="I63" s="15">
        <v>669975.75549999997</v>
      </c>
      <c r="J63" s="15">
        <f>SUM(Tasaus[[#This Row],[Laskennallinen kunnallisvero, €]:[Laskennallinen kiinteistövero, €]])</f>
        <v>8001032.8916005753</v>
      </c>
      <c r="K63" s="15">
        <f>Tasaus[[#This Row],[Laskennallinen verotulo yhteensä, €]]/Tasaus[[#This Row],[Asukasluku 31.12.2022]]</f>
        <v>1760.7906891726618</v>
      </c>
      <c r="L63" s="34">
        <f>$K$11-Tasaus[[#This Row],[Laskennallinen verotulo yhteensä, €/asukas (=tasausraja)]]</f>
        <v>383.16931082733822</v>
      </c>
      <c r="M63" s="369">
        <f>IF(Tasaus[[#This Row],[Erotus = tasausraja - laskennallinen verotulo, €/asukas]]&gt;0,(Tasaus[[#This Row],[Erotus = tasausraja - laskennallinen verotulo, €/asukas]]*$B$7),(Tasaus[[#This Row],[Erotus = tasausraja - laskennallinen verotulo, €/asukas]]*$B$8))</f>
        <v>344.85237974460443</v>
      </c>
      <c r="N63" s="370">
        <f>Tasaus[[#This Row],[Tasaus,  €/asukas]]*Tasaus[[#This Row],[Asukasluku 31.12.2022]]</f>
        <v>1567009.2135594825</v>
      </c>
      <c r="P63" s="116"/>
      <c r="Q63" s="117"/>
      <c r="R63" s="118"/>
    </row>
    <row r="64" spans="1:18">
      <c r="A64" s="266">
        <v>172</v>
      </c>
      <c r="B64" s="13" t="s">
        <v>430</v>
      </c>
      <c r="C64" s="267">
        <v>4152</v>
      </c>
      <c r="D64" s="268">
        <v>8.36</v>
      </c>
      <c r="E64" s="14">
        <v>5398933.6472311104</v>
      </c>
      <c r="F64" s="14">
        <f>Tasaus[[#This Row],[Kunnallisvero (maksuunpantu), €]]*100/Tasaus[[#This Row],[Tuloveroprosentti 2023]]</f>
        <v>64580546.019510895</v>
      </c>
      <c r="G64" s="269">
        <f>Tasaus[[#This Row],[Verotettava tulo (kunnallisvero), €]]*($D$11/100)</f>
        <v>4759586.2416379536</v>
      </c>
      <c r="H64" s="14">
        <v>1217828.0288315814</v>
      </c>
      <c r="I64" s="15">
        <v>913250.16599999997</v>
      </c>
      <c r="J64" s="15">
        <f>SUM(Tasaus[[#This Row],[Laskennallinen kunnallisvero, €]:[Laskennallinen kiinteistövero, €]])</f>
        <v>6890664.4364695353</v>
      </c>
      <c r="K64" s="15">
        <f>Tasaus[[#This Row],[Laskennallinen verotulo yhteensä, €]]/Tasaus[[#This Row],[Asukasluku 31.12.2022]]</f>
        <v>1659.6012611920846</v>
      </c>
      <c r="L64" s="34">
        <f>$K$11-Tasaus[[#This Row],[Laskennallinen verotulo yhteensä, €/asukas (=tasausraja)]]</f>
        <v>484.35873880791542</v>
      </c>
      <c r="M64" s="369">
        <f>IF(Tasaus[[#This Row],[Erotus = tasausraja - laskennallinen verotulo, €/asukas]]&gt;0,(Tasaus[[#This Row],[Erotus = tasausraja - laskennallinen verotulo, €/asukas]]*$B$7),(Tasaus[[#This Row],[Erotus = tasausraja - laskennallinen verotulo, €/asukas]]*$B$8))</f>
        <v>435.9228649271239</v>
      </c>
      <c r="N64" s="370">
        <f>Tasaus[[#This Row],[Tasaus,  €/asukas]]*Tasaus[[#This Row],[Asukasluku 31.12.2022]]</f>
        <v>1809951.7351774184</v>
      </c>
      <c r="P64" s="116"/>
      <c r="Q64" s="117"/>
      <c r="R64" s="118"/>
    </row>
    <row r="65" spans="1:18">
      <c r="A65" s="266">
        <v>176</v>
      </c>
      <c r="B65" s="13" t="s">
        <v>431</v>
      </c>
      <c r="C65" s="267">
        <v>4346</v>
      </c>
      <c r="D65" s="268">
        <v>8.11</v>
      </c>
      <c r="E65" s="14">
        <v>4976293.7292877203</v>
      </c>
      <c r="F65" s="14">
        <f>Tasaus[[#This Row],[Kunnallisvero (maksuunpantu), €]]*100/Tasaus[[#This Row],[Tuloveroprosentti 2023]]</f>
        <v>61359972.001081638</v>
      </c>
      <c r="G65" s="269">
        <f>Tasaus[[#This Row],[Verotettava tulo (kunnallisvero), €]]*($D$11/100)</f>
        <v>4522229.9364797175</v>
      </c>
      <c r="H65" s="14">
        <v>1338185.5369414364</v>
      </c>
      <c r="I65" s="15">
        <v>781379.65894999995</v>
      </c>
      <c r="J65" s="15">
        <f>SUM(Tasaus[[#This Row],[Laskennallinen kunnallisvero, €]:[Laskennallinen kiinteistövero, €]])</f>
        <v>6641795.1323711537</v>
      </c>
      <c r="K65" s="15">
        <f>Tasaus[[#This Row],[Laskennallinen verotulo yhteensä, €]]/Tasaus[[#This Row],[Asukasluku 31.12.2022]]</f>
        <v>1528.2547474392898</v>
      </c>
      <c r="L65" s="34">
        <f>$K$11-Tasaus[[#This Row],[Laskennallinen verotulo yhteensä, €/asukas (=tasausraja)]]</f>
        <v>615.70525256071028</v>
      </c>
      <c r="M65" s="369">
        <f>IF(Tasaus[[#This Row],[Erotus = tasausraja - laskennallinen verotulo, €/asukas]]&gt;0,(Tasaus[[#This Row],[Erotus = tasausraja - laskennallinen verotulo, €/asukas]]*$B$7),(Tasaus[[#This Row],[Erotus = tasausraja - laskennallinen verotulo, €/asukas]]*$B$8))</f>
        <v>554.13472730463923</v>
      </c>
      <c r="N65" s="370">
        <f>Tasaus[[#This Row],[Tasaus,  €/asukas]]*Tasaus[[#This Row],[Asukasluku 31.12.2022]]</f>
        <v>2408269.5248659621</v>
      </c>
      <c r="P65" s="116"/>
      <c r="Q65" s="117"/>
      <c r="R65" s="118"/>
    </row>
    <row r="66" spans="1:18">
      <c r="A66" s="266">
        <v>177</v>
      </c>
      <c r="B66" s="13" t="s">
        <v>432</v>
      </c>
      <c r="C66" s="267">
        <v>1734</v>
      </c>
      <c r="D66" s="268">
        <v>8.36</v>
      </c>
      <c r="E66" s="14">
        <v>2543065.6656931397</v>
      </c>
      <c r="F66" s="14">
        <f>Tasaus[[#This Row],[Kunnallisvero (maksuunpantu), €]]*100/Tasaus[[#This Row],[Tuloveroprosentti 2023]]</f>
        <v>30419445.761879664</v>
      </c>
      <c r="G66" s="269">
        <f>Tasaus[[#This Row],[Verotettava tulo (kunnallisvero), €]]*($D$11/100)</f>
        <v>2241913.1526505318</v>
      </c>
      <c r="H66" s="14">
        <v>927942.04882365942</v>
      </c>
      <c r="I66" s="15">
        <v>317555.52030000003</v>
      </c>
      <c r="J66" s="15">
        <f>SUM(Tasaus[[#This Row],[Laskennallinen kunnallisvero, €]:[Laskennallinen kiinteistövero, €]])</f>
        <v>3487410.7217741911</v>
      </c>
      <c r="K66" s="15">
        <f>Tasaus[[#This Row],[Laskennallinen verotulo yhteensä, €]]/Tasaus[[#This Row],[Asukasluku 31.12.2022]]</f>
        <v>2011.1941878743894</v>
      </c>
      <c r="L66" s="34">
        <f>$K$11-Tasaus[[#This Row],[Laskennallinen verotulo yhteensä, €/asukas (=tasausraja)]]</f>
        <v>132.76581212561064</v>
      </c>
      <c r="M66" s="369">
        <f>IF(Tasaus[[#This Row],[Erotus = tasausraja - laskennallinen verotulo, €/asukas]]&gt;0,(Tasaus[[#This Row],[Erotus = tasausraja - laskennallinen verotulo, €/asukas]]*$B$7),(Tasaus[[#This Row],[Erotus = tasausraja - laskennallinen verotulo, €/asukas]]*$B$8))</f>
        <v>119.48923091304958</v>
      </c>
      <c r="N66" s="370">
        <f>Tasaus[[#This Row],[Tasaus,  €/asukas]]*Tasaus[[#This Row],[Asukasluku 31.12.2022]]</f>
        <v>207194.32640322798</v>
      </c>
      <c r="P66" s="116"/>
      <c r="Q66" s="117"/>
      <c r="R66" s="118"/>
    </row>
    <row r="67" spans="1:18">
      <c r="A67" s="266">
        <v>178</v>
      </c>
      <c r="B67" s="13" t="s">
        <v>433</v>
      </c>
      <c r="C67" s="267">
        <v>5713</v>
      </c>
      <c r="D67" s="268">
        <v>8.11</v>
      </c>
      <c r="E67" s="14">
        <v>7345479.9673166089</v>
      </c>
      <c r="F67" s="14">
        <f>Tasaus[[#This Row],[Kunnallisvero (maksuunpantu), €]]*100/Tasaus[[#This Row],[Tuloveroprosentti 2023]]</f>
        <v>90573119.202424273</v>
      </c>
      <c r="G67" s="269">
        <f>Tasaus[[#This Row],[Verotettava tulo (kunnallisvero), €]]*($D$11/100)</f>
        <v>6675238.8852186706</v>
      </c>
      <c r="H67" s="14">
        <v>1689243.0994201591</v>
      </c>
      <c r="I67" s="15">
        <v>1031638.3373</v>
      </c>
      <c r="J67" s="15">
        <f>SUM(Tasaus[[#This Row],[Laskennallinen kunnallisvero, €]:[Laskennallinen kiinteistövero, €]])</f>
        <v>9396120.3219388295</v>
      </c>
      <c r="K67" s="15">
        <f>Tasaus[[#This Row],[Laskennallinen verotulo yhteensä, €]]/Tasaus[[#This Row],[Asukasluku 31.12.2022]]</f>
        <v>1644.6911118394589</v>
      </c>
      <c r="L67" s="34">
        <f>$K$11-Tasaus[[#This Row],[Laskennallinen verotulo yhteensä, €/asukas (=tasausraja)]]</f>
        <v>499.26888816054111</v>
      </c>
      <c r="M67" s="369">
        <f>IF(Tasaus[[#This Row],[Erotus = tasausraja - laskennallinen verotulo, €/asukas]]&gt;0,(Tasaus[[#This Row],[Erotus = tasausraja - laskennallinen verotulo, €/asukas]]*$B$7),(Tasaus[[#This Row],[Erotus = tasausraja - laskennallinen verotulo, €/asukas]]*$B$8))</f>
        <v>449.34199934448702</v>
      </c>
      <c r="N67" s="370">
        <f>Tasaus[[#This Row],[Tasaus,  €/asukas]]*Tasaus[[#This Row],[Asukasluku 31.12.2022]]</f>
        <v>2567090.8422550545</v>
      </c>
      <c r="P67" s="116"/>
      <c r="Q67" s="117"/>
      <c r="R67" s="118"/>
    </row>
    <row r="68" spans="1:18">
      <c r="A68" s="266">
        <v>179</v>
      </c>
      <c r="B68" s="13" t="s">
        <v>434</v>
      </c>
      <c r="C68" s="267">
        <v>145722</v>
      </c>
      <c r="D68" s="268">
        <v>7.3599999999999994</v>
      </c>
      <c r="E68" s="14">
        <v>213202192.48528859</v>
      </c>
      <c r="F68" s="14">
        <f>Tasaus[[#This Row],[Kunnallisvero (maksuunpantu), €]]*100/Tasaus[[#This Row],[Tuloveroprosentti 2023]]</f>
        <v>2896768919.6370735</v>
      </c>
      <c r="G68" s="269">
        <f>Tasaus[[#This Row],[Verotettava tulo (kunnallisvero), €]]*($D$11/100)</f>
        <v>213491869.37725237</v>
      </c>
      <c r="H68" s="14">
        <v>31699277.396155559</v>
      </c>
      <c r="I68" s="15">
        <v>26210897.641999997</v>
      </c>
      <c r="J68" s="15">
        <f>SUM(Tasaus[[#This Row],[Laskennallinen kunnallisvero, €]:[Laskennallinen kiinteistövero, €]])</f>
        <v>271402044.41540796</v>
      </c>
      <c r="K68" s="15">
        <f>Tasaus[[#This Row],[Laskennallinen verotulo yhteensä, €]]/Tasaus[[#This Row],[Asukasluku 31.12.2022]]</f>
        <v>1862.4644488506055</v>
      </c>
      <c r="L68" s="34">
        <f>$K$11-Tasaus[[#This Row],[Laskennallinen verotulo yhteensä, €/asukas (=tasausraja)]]</f>
        <v>281.49555114939449</v>
      </c>
      <c r="M68" s="369">
        <f>IF(Tasaus[[#This Row],[Erotus = tasausraja - laskennallinen verotulo, €/asukas]]&gt;0,(Tasaus[[#This Row],[Erotus = tasausraja - laskennallinen verotulo, €/asukas]]*$B$7),(Tasaus[[#This Row],[Erotus = tasausraja - laskennallinen verotulo, €/asukas]]*$B$8))</f>
        <v>253.34599603445506</v>
      </c>
      <c r="N68" s="370">
        <f>Tasaus[[#This Row],[Tasaus,  €/asukas]]*Tasaus[[#This Row],[Asukasluku 31.12.2022]]</f>
        <v>36918085.234132856</v>
      </c>
      <c r="P68" s="116"/>
      <c r="Q68" s="117"/>
      <c r="R68" s="118"/>
    </row>
    <row r="69" spans="1:18">
      <c r="A69" s="266">
        <v>181</v>
      </c>
      <c r="B69" s="13" t="s">
        <v>435</v>
      </c>
      <c r="C69" s="267">
        <v>1631</v>
      </c>
      <c r="D69" s="268">
        <v>9.86</v>
      </c>
      <c r="E69" s="14">
        <v>2575764.0307915597</v>
      </c>
      <c r="F69" s="14">
        <f>Tasaus[[#This Row],[Kunnallisvero (maksuunpantu), €]]*100/Tasaus[[#This Row],[Tuloveroprosentti 2023]]</f>
        <v>26123367.452247057</v>
      </c>
      <c r="G69" s="269">
        <f>Tasaus[[#This Row],[Verotettava tulo (kunnallisvero), €]]*($D$11/100)</f>
        <v>1925292.1812306086</v>
      </c>
      <c r="H69" s="14">
        <v>286411.49549876334</v>
      </c>
      <c r="I69" s="15">
        <v>250602.63404999996</v>
      </c>
      <c r="J69" s="15">
        <f>SUM(Tasaus[[#This Row],[Laskennallinen kunnallisvero, €]:[Laskennallinen kiinteistövero, €]])</f>
        <v>2462306.3107793718</v>
      </c>
      <c r="K69" s="15">
        <f>Tasaus[[#This Row],[Laskennallinen verotulo yhteensä, €]]/Tasaus[[#This Row],[Asukasluku 31.12.2022]]</f>
        <v>1509.6911776697559</v>
      </c>
      <c r="L69" s="34">
        <f>$K$11-Tasaus[[#This Row],[Laskennallinen verotulo yhteensä, €/asukas (=tasausraja)]]</f>
        <v>634.26882233024412</v>
      </c>
      <c r="M69" s="369">
        <f>IF(Tasaus[[#This Row],[Erotus = tasausraja - laskennallinen verotulo, €/asukas]]&gt;0,(Tasaus[[#This Row],[Erotus = tasausraja - laskennallinen verotulo, €/asukas]]*$B$7),(Tasaus[[#This Row],[Erotus = tasausraja - laskennallinen verotulo, €/asukas]]*$B$8))</f>
        <v>570.84194009721978</v>
      </c>
      <c r="N69" s="370">
        <f>Tasaus[[#This Row],[Tasaus,  €/asukas]]*Tasaus[[#This Row],[Asukasluku 31.12.2022]]</f>
        <v>931043.2042985654</v>
      </c>
      <c r="P69" s="116"/>
      <c r="Q69" s="117"/>
      <c r="R69" s="118"/>
    </row>
    <row r="70" spans="1:18">
      <c r="A70" s="266">
        <v>182</v>
      </c>
      <c r="B70" s="13" t="s">
        <v>70</v>
      </c>
      <c r="C70" s="267">
        <v>19211</v>
      </c>
      <c r="D70" s="268">
        <v>8.36</v>
      </c>
      <c r="E70" s="14">
        <v>30649117.007293329</v>
      </c>
      <c r="F70" s="14">
        <f>Tasaus[[#This Row],[Kunnallisvero (maksuunpantu), €]]*100/Tasaus[[#This Row],[Tuloveroprosentti 2023]]</f>
        <v>366616232.14465708</v>
      </c>
      <c r="G70" s="269">
        <f>Tasaus[[#This Row],[Verotettava tulo (kunnallisvero), €]]*($D$11/100)</f>
        <v>27019616.309061233</v>
      </c>
      <c r="H70" s="14">
        <v>7134462.0457365969</v>
      </c>
      <c r="I70" s="15">
        <v>3533357.1986000002</v>
      </c>
      <c r="J70" s="15">
        <f>SUM(Tasaus[[#This Row],[Laskennallinen kunnallisvero, €]:[Laskennallinen kiinteistövero, €]])</f>
        <v>37687435.553397834</v>
      </c>
      <c r="K70" s="15">
        <f>Tasaus[[#This Row],[Laskennallinen verotulo yhteensä, €]]/Tasaus[[#This Row],[Asukasluku 31.12.2022]]</f>
        <v>1961.7633414917409</v>
      </c>
      <c r="L70" s="34">
        <f>$K$11-Tasaus[[#This Row],[Laskennallinen verotulo yhteensä, €/asukas (=tasausraja)]]</f>
        <v>182.19665850825913</v>
      </c>
      <c r="M70" s="369">
        <f>IF(Tasaus[[#This Row],[Erotus = tasausraja - laskennallinen verotulo, €/asukas]]&gt;0,(Tasaus[[#This Row],[Erotus = tasausraja - laskennallinen verotulo, €/asukas]]*$B$7),(Tasaus[[#This Row],[Erotus = tasausraja - laskennallinen verotulo, €/asukas]]*$B$8))</f>
        <v>163.97699265743321</v>
      </c>
      <c r="N70" s="370">
        <f>Tasaus[[#This Row],[Tasaus,  €/asukas]]*Tasaus[[#This Row],[Asukasluku 31.12.2022]]</f>
        <v>3150162.0059419493</v>
      </c>
      <c r="P70" s="116"/>
      <c r="Q70" s="117"/>
      <c r="R70" s="118"/>
    </row>
    <row r="71" spans="1:18">
      <c r="A71" s="266">
        <v>186</v>
      </c>
      <c r="B71" s="13" t="s">
        <v>436</v>
      </c>
      <c r="C71" s="267">
        <v>45873</v>
      </c>
      <c r="D71" s="268">
        <v>7.6099999999999994</v>
      </c>
      <c r="E71" s="14">
        <v>86937997.61959219</v>
      </c>
      <c r="F71" s="14">
        <f>Tasaus[[#This Row],[Kunnallisvero (maksuunpantu), €]]*100/Tasaus[[#This Row],[Tuloveroprosentti 2023]]</f>
        <v>1142417839.9420788</v>
      </c>
      <c r="G71" s="269">
        <f>Tasaus[[#This Row],[Verotettava tulo (kunnallisvero), €]]*($D$11/100)</f>
        <v>84196194.803731233</v>
      </c>
      <c r="H71" s="14">
        <v>5915626.7114703543</v>
      </c>
      <c r="I71" s="15">
        <v>7349415.7351500001</v>
      </c>
      <c r="J71" s="15">
        <f>SUM(Tasaus[[#This Row],[Laskennallinen kunnallisvero, €]:[Laskennallinen kiinteistövero, €]])</f>
        <v>97461237.250351578</v>
      </c>
      <c r="K71" s="15">
        <f>Tasaus[[#This Row],[Laskennallinen verotulo yhteensä, €]]/Tasaus[[#This Row],[Asukasluku 31.12.2022]]</f>
        <v>2124.5882599863007</v>
      </c>
      <c r="L71" s="34">
        <f>$K$11-Tasaus[[#This Row],[Laskennallinen verotulo yhteensä, €/asukas (=tasausraja)]]</f>
        <v>19.371740013699309</v>
      </c>
      <c r="M71" s="369">
        <f>IF(Tasaus[[#This Row],[Erotus = tasausraja - laskennallinen verotulo, €/asukas]]&gt;0,(Tasaus[[#This Row],[Erotus = tasausraja - laskennallinen verotulo, €/asukas]]*$B$7),(Tasaus[[#This Row],[Erotus = tasausraja - laskennallinen verotulo, €/asukas]]*$B$8))</f>
        <v>17.43456601232938</v>
      </c>
      <c r="N71" s="370">
        <f>Tasaus[[#This Row],[Tasaus,  €/asukas]]*Tasaus[[#This Row],[Asukasluku 31.12.2022]]</f>
        <v>799775.84668358567</v>
      </c>
      <c r="P71" s="116"/>
      <c r="Q71" s="117"/>
      <c r="R71" s="118"/>
    </row>
    <row r="72" spans="1:18">
      <c r="A72" s="266">
        <v>202</v>
      </c>
      <c r="B72" s="13" t="s">
        <v>437</v>
      </c>
      <c r="C72" s="267">
        <v>35659</v>
      </c>
      <c r="D72" s="268">
        <v>7.6099999999999994</v>
      </c>
      <c r="E72" s="14">
        <v>66613615.209563516</v>
      </c>
      <c r="F72" s="14">
        <f>Tasaus[[#This Row],[Kunnallisvero (maksuunpantu), €]]*100/Tasaus[[#This Row],[Tuloveroprosentti 2023]]</f>
        <v>875343169.63946807</v>
      </c>
      <c r="G72" s="269">
        <f>Tasaus[[#This Row],[Verotettava tulo (kunnallisvero), €]]*($D$11/100)</f>
        <v>64512791.602428809</v>
      </c>
      <c r="H72" s="14">
        <v>6272020.6690529529</v>
      </c>
      <c r="I72" s="15">
        <v>5145159.0947000002</v>
      </c>
      <c r="J72" s="15">
        <f>SUM(Tasaus[[#This Row],[Laskennallinen kunnallisvero, €]:[Laskennallinen kiinteistövero, €]])</f>
        <v>75929971.366181761</v>
      </c>
      <c r="K72" s="15">
        <f>Tasaus[[#This Row],[Laskennallinen verotulo yhteensä, €]]/Tasaus[[#This Row],[Asukasluku 31.12.2022]]</f>
        <v>2129.3354094669439</v>
      </c>
      <c r="L72" s="34">
        <f>$K$11-Tasaus[[#This Row],[Laskennallinen verotulo yhteensä, €/asukas (=tasausraja)]]</f>
        <v>14.624590533056107</v>
      </c>
      <c r="M72" s="369">
        <f>IF(Tasaus[[#This Row],[Erotus = tasausraja - laskennallinen verotulo, €/asukas]]&gt;0,(Tasaus[[#This Row],[Erotus = tasausraja - laskennallinen verotulo, €/asukas]]*$B$7),(Tasaus[[#This Row],[Erotus = tasausraja - laskennallinen verotulo, €/asukas]]*$B$8))</f>
        <v>13.162131479750498</v>
      </c>
      <c r="N72" s="370">
        <f>Tasaus[[#This Row],[Tasaus,  €/asukas]]*Tasaus[[#This Row],[Asukasluku 31.12.2022]]</f>
        <v>469348.44643642299</v>
      </c>
      <c r="P72" s="116"/>
      <c r="Q72" s="117"/>
      <c r="R72" s="118"/>
    </row>
    <row r="73" spans="1:18">
      <c r="A73" s="266">
        <v>204</v>
      </c>
      <c r="B73" s="13" t="s">
        <v>438</v>
      </c>
      <c r="C73" s="267">
        <v>2678</v>
      </c>
      <c r="D73" s="268">
        <v>9.36</v>
      </c>
      <c r="E73" s="14">
        <v>3626176.4278344498</v>
      </c>
      <c r="F73" s="14">
        <f>Tasaus[[#This Row],[Kunnallisvero (maksuunpantu), €]]*100/Tasaus[[#This Row],[Tuloveroprosentti 2023]]</f>
        <v>38741201.152077459</v>
      </c>
      <c r="G73" s="269">
        <f>Tasaus[[#This Row],[Verotettava tulo (kunnallisvero), €]]*($D$11/100)</f>
        <v>2855226.5249081091</v>
      </c>
      <c r="H73" s="14">
        <v>1019565.3487380265</v>
      </c>
      <c r="I73" s="15">
        <v>476349.59025000007</v>
      </c>
      <c r="J73" s="15">
        <f>SUM(Tasaus[[#This Row],[Laskennallinen kunnallisvero, €]:[Laskennallinen kiinteistövero, €]])</f>
        <v>4351141.4638961358</v>
      </c>
      <c r="K73" s="15">
        <f>Tasaus[[#This Row],[Laskennallinen verotulo yhteensä, €]]/Tasaus[[#This Row],[Asukasluku 31.12.2022]]</f>
        <v>1624.7727647110291</v>
      </c>
      <c r="L73" s="34">
        <f>$K$11-Tasaus[[#This Row],[Laskennallinen verotulo yhteensä, €/asukas (=tasausraja)]]</f>
        <v>519.1872352889709</v>
      </c>
      <c r="M73" s="369">
        <f>IF(Tasaus[[#This Row],[Erotus = tasausraja - laskennallinen verotulo, €/asukas]]&gt;0,(Tasaus[[#This Row],[Erotus = tasausraja - laskennallinen verotulo, €/asukas]]*$B$7),(Tasaus[[#This Row],[Erotus = tasausraja - laskennallinen verotulo, €/asukas]]*$B$8))</f>
        <v>467.26851176007381</v>
      </c>
      <c r="N73" s="370">
        <f>Tasaus[[#This Row],[Tasaus,  €/asukas]]*Tasaus[[#This Row],[Asukasluku 31.12.2022]]</f>
        <v>1251345.0744934776</v>
      </c>
      <c r="P73" s="116"/>
      <c r="Q73" s="117"/>
      <c r="R73" s="118"/>
    </row>
    <row r="74" spans="1:18">
      <c r="A74" s="266">
        <v>205</v>
      </c>
      <c r="B74" s="13" t="s">
        <v>439</v>
      </c>
      <c r="C74" s="267">
        <v>36251</v>
      </c>
      <c r="D74" s="268">
        <v>8.36</v>
      </c>
      <c r="E74" s="14">
        <v>58931938.239770889</v>
      </c>
      <c r="F74" s="14">
        <f>Tasaus[[#This Row],[Kunnallisvero (maksuunpantu), €]]*100/Tasaus[[#This Row],[Tuloveroprosentti 2023]]</f>
        <v>704927490.90635037</v>
      </c>
      <c r="G74" s="269">
        <f>Tasaus[[#This Row],[Verotettava tulo (kunnallisvero), €]]*($D$11/100)</f>
        <v>51953156.079798035</v>
      </c>
      <c r="H74" s="14">
        <v>5647628.139663917</v>
      </c>
      <c r="I74" s="15">
        <v>5325530.2281499999</v>
      </c>
      <c r="J74" s="15">
        <f>SUM(Tasaus[[#This Row],[Laskennallinen kunnallisvero, €]:[Laskennallinen kiinteistövero, €]])</f>
        <v>62926314.447611958</v>
      </c>
      <c r="K74" s="15">
        <f>Tasaus[[#This Row],[Laskennallinen verotulo yhteensä, €]]/Tasaus[[#This Row],[Asukasluku 31.12.2022]]</f>
        <v>1735.850444059804</v>
      </c>
      <c r="L74" s="34">
        <f>$K$11-Tasaus[[#This Row],[Laskennallinen verotulo yhteensä, €/asukas (=tasausraja)]]</f>
        <v>408.10955594019606</v>
      </c>
      <c r="M74" s="369">
        <f>IF(Tasaus[[#This Row],[Erotus = tasausraja - laskennallinen verotulo, €/asukas]]&gt;0,(Tasaus[[#This Row],[Erotus = tasausraja - laskennallinen verotulo, €/asukas]]*$B$7),(Tasaus[[#This Row],[Erotus = tasausraja - laskennallinen verotulo, €/asukas]]*$B$8))</f>
        <v>367.29860034617644</v>
      </c>
      <c r="N74" s="370">
        <f>Tasaus[[#This Row],[Tasaus,  €/asukas]]*Tasaus[[#This Row],[Asukasluku 31.12.2022]]</f>
        <v>13314941.561149241</v>
      </c>
      <c r="P74" s="116"/>
      <c r="Q74" s="117"/>
      <c r="R74" s="118"/>
    </row>
    <row r="75" spans="1:18">
      <c r="A75" s="266">
        <v>208</v>
      </c>
      <c r="B75" s="13" t="s">
        <v>440</v>
      </c>
      <c r="C75" s="267">
        <v>12323</v>
      </c>
      <c r="D75" s="268">
        <v>8.36</v>
      </c>
      <c r="E75" s="14">
        <v>17584313.61096634</v>
      </c>
      <c r="F75" s="14">
        <f>Tasaus[[#This Row],[Kunnallisvero (maksuunpantu), €]]*100/Tasaus[[#This Row],[Tuloveroprosentti 2023]]</f>
        <v>210338679.55701363</v>
      </c>
      <c r="G75" s="269">
        <f>Tasaus[[#This Row],[Verotettava tulo (kunnallisvero), €]]*($D$11/100)</f>
        <v>15501960.683351908</v>
      </c>
      <c r="H75" s="14">
        <v>2872802.8260461236</v>
      </c>
      <c r="I75" s="15">
        <v>2316754.3618000001</v>
      </c>
      <c r="J75" s="15">
        <f>SUM(Tasaus[[#This Row],[Laskennallinen kunnallisvero, €]:[Laskennallinen kiinteistövero, €]])</f>
        <v>20691517.871198032</v>
      </c>
      <c r="K75" s="15">
        <f>Tasaus[[#This Row],[Laskennallinen verotulo yhteensä, €]]/Tasaus[[#This Row],[Asukasluku 31.12.2022]]</f>
        <v>1679.0974495819225</v>
      </c>
      <c r="L75" s="34">
        <f>$K$11-Tasaus[[#This Row],[Laskennallinen verotulo yhteensä, €/asukas (=tasausraja)]]</f>
        <v>464.86255041807749</v>
      </c>
      <c r="M75" s="369">
        <f>IF(Tasaus[[#This Row],[Erotus = tasausraja - laskennallinen verotulo, €/asukas]]&gt;0,(Tasaus[[#This Row],[Erotus = tasausraja - laskennallinen verotulo, €/asukas]]*$B$7),(Tasaus[[#This Row],[Erotus = tasausraja - laskennallinen verotulo, €/asukas]]*$B$8))</f>
        <v>418.37629537626975</v>
      </c>
      <c r="N75" s="370">
        <f>Tasaus[[#This Row],[Tasaus,  €/asukas]]*Tasaus[[#This Row],[Asukasluku 31.12.2022]]</f>
        <v>5155651.0879217722</v>
      </c>
      <c r="P75" s="116"/>
      <c r="Q75" s="117"/>
      <c r="R75" s="118"/>
    </row>
    <row r="76" spans="1:18">
      <c r="A76" s="266">
        <v>211</v>
      </c>
      <c r="B76" s="13" t="s">
        <v>441</v>
      </c>
      <c r="C76" s="267">
        <v>32746</v>
      </c>
      <c r="D76" s="268">
        <v>8.36</v>
      </c>
      <c r="E76" s="14">
        <v>61525316.030767389</v>
      </c>
      <c r="F76" s="14">
        <f>Tasaus[[#This Row],[Kunnallisvero (maksuunpantu), €]]*100/Tasaus[[#This Row],[Tuloveroprosentti 2023]]</f>
        <v>735948756.34889233</v>
      </c>
      <c r="G76" s="269">
        <f>Tasaus[[#This Row],[Verotettava tulo (kunnallisvero), €]]*($D$11/100)</f>
        <v>54239423.342913374</v>
      </c>
      <c r="H76" s="14">
        <v>5563055.6089509381</v>
      </c>
      <c r="I76" s="15">
        <v>5225573.5005000001</v>
      </c>
      <c r="J76" s="15">
        <f>SUM(Tasaus[[#This Row],[Laskennallinen kunnallisvero, €]:[Laskennallinen kiinteistövero, €]])</f>
        <v>65028052.452364311</v>
      </c>
      <c r="K76" s="15">
        <f>Tasaus[[#This Row],[Laskennallinen verotulo yhteensä, €]]/Tasaus[[#This Row],[Asukasluku 31.12.2022]]</f>
        <v>1985.8319322165855</v>
      </c>
      <c r="L76" s="34">
        <f>$K$11-Tasaus[[#This Row],[Laskennallinen verotulo yhteensä, €/asukas (=tasausraja)]]</f>
        <v>158.12806778341451</v>
      </c>
      <c r="M76" s="369">
        <f>IF(Tasaus[[#This Row],[Erotus = tasausraja - laskennallinen verotulo, €/asukas]]&gt;0,(Tasaus[[#This Row],[Erotus = tasausraja - laskennallinen verotulo, €/asukas]]*$B$7),(Tasaus[[#This Row],[Erotus = tasausraja - laskennallinen verotulo, €/asukas]]*$B$8))</f>
        <v>142.31526100507307</v>
      </c>
      <c r="N76" s="370">
        <f>Tasaus[[#This Row],[Tasaus,  €/asukas]]*Tasaus[[#This Row],[Asukasluku 31.12.2022]]</f>
        <v>4660255.5368721224</v>
      </c>
      <c r="P76" s="116"/>
      <c r="Q76" s="117"/>
      <c r="R76" s="118"/>
    </row>
    <row r="77" spans="1:18">
      <c r="A77" s="266">
        <v>213</v>
      </c>
      <c r="B77" s="13" t="s">
        <v>442</v>
      </c>
      <c r="C77" s="267">
        <v>5185</v>
      </c>
      <c r="D77" s="268">
        <v>8.86</v>
      </c>
      <c r="E77" s="14">
        <v>7293632.2834312702</v>
      </c>
      <c r="F77" s="14">
        <f>Tasaus[[#This Row],[Kunnallisvero (maksuunpantu), €]]*100/Tasaus[[#This Row],[Tuloveroprosentti 2023]]</f>
        <v>82320906.133535787</v>
      </c>
      <c r="G77" s="269">
        <f>Tasaus[[#This Row],[Verotettava tulo (kunnallisvero), €]]*($D$11/100)</f>
        <v>6067050.7820415888</v>
      </c>
      <c r="H77" s="14">
        <v>1990133.2734926769</v>
      </c>
      <c r="I77" s="15">
        <v>1189831.2030499999</v>
      </c>
      <c r="J77" s="15">
        <f>SUM(Tasaus[[#This Row],[Laskennallinen kunnallisvero, €]:[Laskennallinen kiinteistövero, €]])</f>
        <v>9247015.2585842665</v>
      </c>
      <c r="K77" s="15">
        <f>Tasaus[[#This Row],[Laskennallinen verotulo yhteensä, €]]/Tasaus[[#This Row],[Asukasluku 31.12.2022]]</f>
        <v>1783.4166361782577</v>
      </c>
      <c r="L77" s="34">
        <f>$K$11-Tasaus[[#This Row],[Laskennallinen verotulo yhteensä, €/asukas (=tasausraja)]]</f>
        <v>360.54336382174233</v>
      </c>
      <c r="M77" s="369">
        <f>IF(Tasaus[[#This Row],[Erotus = tasausraja - laskennallinen verotulo, €/asukas]]&gt;0,(Tasaus[[#This Row],[Erotus = tasausraja - laskennallinen verotulo, €/asukas]]*$B$7),(Tasaus[[#This Row],[Erotus = tasausraja - laskennallinen verotulo, €/asukas]]*$B$8))</f>
        <v>324.48902743956813</v>
      </c>
      <c r="N77" s="370">
        <f>Tasaus[[#This Row],[Tasaus,  €/asukas]]*Tasaus[[#This Row],[Asukasluku 31.12.2022]]</f>
        <v>1682475.6072741607</v>
      </c>
      <c r="P77" s="116"/>
      <c r="Q77" s="117"/>
      <c r="R77" s="118"/>
    </row>
    <row r="78" spans="1:18">
      <c r="A78" s="266">
        <v>214</v>
      </c>
      <c r="B78" s="13" t="s">
        <v>443</v>
      </c>
      <c r="C78" s="267">
        <v>12433</v>
      </c>
      <c r="D78" s="268">
        <v>9.11</v>
      </c>
      <c r="E78" s="14">
        <v>19186714.154739741</v>
      </c>
      <c r="F78" s="14">
        <f>Tasaus[[#This Row],[Kunnallisvero (maksuunpantu), €]]*100/Tasaus[[#This Row],[Tuloveroprosentti 2023]]</f>
        <v>210611571.40219256</v>
      </c>
      <c r="G78" s="269">
        <f>Tasaus[[#This Row],[Verotettava tulo (kunnallisvero), €]]*($D$11/100)</f>
        <v>15522072.812341595</v>
      </c>
      <c r="H78" s="14">
        <v>3253871.8939448795</v>
      </c>
      <c r="I78" s="352">
        <v>2118672.7052500001</v>
      </c>
      <c r="J78" s="15">
        <f>SUM(Tasaus[[#This Row],[Laskennallinen kunnallisvero, €]:[Laskennallinen kiinteistövero, €]])</f>
        <v>20894617.411536474</v>
      </c>
      <c r="K78" s="15">
        <f>Tasaus[[#This Row],[Laskennallinen verotulo yhteensä, €]]/Tasaus[[#This Row],[Asukasluku 31.12.2022]]</f>
        <v>1680.5772871822146</v>
      </c>
      <c r="L78" s="34">
        <f>$K$11-Tasaus[[#This Row],[Laskennallinen verotulo yhteensä, €/asukas (=tasausraja)]]</f>
        <v>463.38271281778543</v>
      </c>
      <c r="M78" s="369">
        <f>IF(Tasaus[[#This Row],[Erotus = tasausraja - laskennallinen verotulo, €/asukas]]&gt;0,(Tasaus[[#This Row],[Erotus = tasausraja - laskennallinen verotulo, €/asukas]]*$B$7),(Tasaus[[#This Row],[Erotus = tasausraja - laskennallinen verotulo, €/asukas]]*$B$8))</f>
        <v>417.0444415360069</v>
      </c>
      <c r="N78" s="370">
        <f>Tasaus[[#This Row],[Tasaus,  €/asukas]]*Tasaus[[#This Row],[Asukasluku 31.12.2022]]</f>
        <v>5185113.5416171737</v>
      </c>
      <c r="P78" s="116"/>
      <c r="Q78" s="117"/>
      <c r="R78" s="118"/>
    </row>
    <row r="79" spans="1:18">
      <c r="A79" s="266">
        <v>216</v>
      </c>
      <c r="B79" s="13" t="s">
        <v>444</v>
      </c>
      <c r="C79" s="267">
        <v>1281</v>
      </c>
      <c r="D79" s="268">
        <v>8.86</v>
      </c>
      <c r="E79" s="14">
        <v>1615678.6091586698</v>
      </c>
      <c r="F79" s="14">
        <f>Tasaus[[#This Row],[Kunnallisvero (maksuunpantu), €]]*100/Tasaus[[#This Row],[Tuloveroprosentti 2023]]</f>
        <v>18235650.21623781</v>
      </c>
      <c r="G79" s="269">
        <f>Tasaus[[#This Row],[Verotettava tulo (kunnallisvero), €]]*($D$11/100)</f>
        <v>1343967.4209367267</v>
      </c>
      <c r="H79" s="14">
        <v>478094.60107887589</v>
      </c>
      <c r="I79" s="15">
        <v>279536.84979999997</v>
      </c>
      <c r="J79" s="15">
        <f>SUM(Tasaus[[#This Row],[Laskennallinen kunnallisvero, €]:[Laskennallinen kiinteistövero, €]])</f>
        <v>2101598.8718156023</v>
      </c>
      <c r="K79" s="15">
        <f>Tasaus[[#This Row],[Laskennallinen verotulo yhteensä, €]]/Tasaus[[#This Row],[Asukasluku 31.12.2022]]</f>
        <v>1640.5924057889167</v>
      </c>
      <c r="L79" s="34">
        <f>$K$11-Tasaus[[#This Row],[Laskennallinen verotulo yhteensä, €/asukas (=tasausraja)]]</f>
        <v>503.36759421108331</v>
      </c>
      <c r="M79" s="369">
        <f>IF(Tasaus[[#This Row],[Erotus = tasausraja - laskennallinen verotulo, €/asukas]]&gt;0,(Tasaus[[#This Row],[Erotus = tasausraja - laskennallinen verotulo, €/asukas]]*$B$7),(Tasaus[[#This Row],[Erotus = tasausraja - laskennallinen verotulo, €/asukas]]*$B$8))</f>
        <v>453.03083478997502</v>
      </c>
      <c r="N79" s="370">
        <f>Tasaus[[#This Row],[Tasaus,  €/asukas]]*Tasaus[[#This Row],[Asukasluku 31.12.2022]]</f>
        <v>580332.49936595804</v>
      </c>
      <c r="P79" s="116"/>
      <c r="Q79" s="117"/>
      <c r="R79" s="118"/>
    </row>
    <row r="80" spans="1:18">
      <c r="A80" s="266">
        <v>217</v>
      </c>
      <c r="B80" s="13" t="s">
        <v>445</v>
      </c>
      <c r="C80" s="267">
        <v>5352</v>
      </c>
      <c r="D80" s="268">
        <v>8.86</v>
      </c>
      <c r="E80" s="14">
        <v>8050572.3373670699</v>
      </c>
      <c r="F80" s="14">
        <f>Tasaus[[#This Row],[Kunnallisvero (maksuunpantu), €]]*100/Tasaus[[#This Row],[Tuloveroprosentti 2023]]</f>
        <v>90864247.600079805</v>
      </c>
      <c r="G80" s="269">
        <f>Tasaus[[#This Row],[Verotettava tulo (kunnallisvero), €]]*($D$11/100)</f>
        <v>6696695.0481258826</v>
      </c>
      <c r="H80" s="14">
        <v>909835.07894241076</v>
      </c>
      <c r="I80" s="15">
        <v>746699.71774999995</v>
      </c>
      <c r="J80" s="15">
        <f>SUM(Tasaus[[#This Row],[Laskennallinen kunnallisvero, €]:[Laskennallinen kiinteistövero, €]])</f>
        <v>8353229.8448182931</v>
      </c>
      <c r="K80" s="15">
        <f>Tasaus[[#This Row],[Laskennallinen verotulo yhteensä, €]]/Tasaus[[#This Row],[Asukasluku 31.12.2022]]</f>
        <v>1560.7679082246436</v>
      </c>
      <c r="L80" s="34">
        <f>$K$11-Tasaus[[#This Row],[Laskennallinen verotulo yhteensä, €/asukas (=tasausraja)]]</f>
        <v>583.1920917753564</v>
      </c>
      <c r="M80" s="369">
        <f>IF(Tasaus[[#This Row],[Erotus = tasausraja - laskennallinen verotulo, €/asukas]]&gt;0,(Tasaus[[#This Row],[Erotus = tasausraja - laskennallinen verotulo, €/asukas]]*$B$7),(Tasaus[[#This Row],[Erotus = tasausraja - laskennallinen verotulo, €/asukas]]*$B$8))</f>
        <v>524.87288259782076</v>
      </c>
      <c r="N80" s="370">
        <f>Tasaus[[#This Row],[Tasaus,  €/asukas]]*Tasaus[[#This Row],[Asukasluku 31.12.2022]]</f>
        <v>2809119.6676635365</v>
      </c>
      <c r="P80" s="116"/>
      <c r="Q80" s="117"/>
      <c r="R80" s="118"/>
    </row>
    <row r="81" spans="1:18">
      <c r="A81" s="266">
        <v>218</v>
      </c>
      <c r="B81" s="13" t="s">
        <v>446</v>
      </c>
      <c r="C81" s="267">
        <v>1153</v>
      </c>
      <c r="D81" s="268">
        <v>9.86</v>
      </c>
      <c r="E81" s="14">
        <v>1735000.5436752797</v>
      </c>
      <c r="F81" s="14">
        <f>Tasaus[[#This Row],[Kunnallisvero (maksuunpantu), €]]*100/Tasaus[[#This Row],[Tuloveroprosentti 2023]]</f>
        <v>17596354.398329411</v>
      </c>
      <c r="G81" s="269">
        <f>Tasaus[[#This Row],[Verotettava tulo (kunnallisvero), €]]*($D$11/100)</f>
        <v>1296851.3191568779</v>
      </c>
      <c r="H81" s="14">
        <v>252679.48846048355</v>
      </c>
      <c r="I81" s="15">
        <v>155232.03515000001</v>
      </c>
      <c r="J81" s="15">
        <f>SUM(Tasaus[[#This Row],[Laskennallinen kunnallisvero, €]:[Laskennallinen kiinteistövero, €]])</f>
        <v>1704762.8427673616</v>
      </c>
      <c r="K81" s="15">
        <f>Tasaus[[#This Row],[Laskennallinen verotulo yhteensä, €]]/Tasaus[[#This Row],[Asukasluku 31.12.2022]]</f>
        <v>1478.5453970228634</v>
      </c>
      <c r="L81" s="34">
        <f>$K$11-Tasaus[[#This Row],[Laskennallinen verotulo yhteensä, €/asukas (=tasausraja)]]</f>
        <v>665.41460297713661</v>
      </c>
      <c r="M81" s="369">
        <f>IF(Tasaus[[#This Row],[Erotus = tasausraja - laskennallinen verotulo, €/asukas]]&gt;0,(Tasaus[[#This Row],[Erotus = tasausraja - laskennallinen verotulo, €/asukas]]*$B$7),(Tasaus[[#This Row],[Erotus = tasausraja - laskennallinen verotulo, €/asukas]]*$B$8))</f>
        <v>598.87314267942293</v>
      </c>
      <c r="N81" s="370">
        <f>Tasaus[[#This Row],[Tasaus,  €/asukas]]*Tasaus[[#This Row],[Asukasluku 31.12.2022]]</f>
        <v>690500.73350937467</v>
      </c>
      <c r="P81" s="116"/>
      <c r="Q81" s="117"/>
      <c r="R81" s="118"/>
    </row>
    <row r="82" spans="1:18">
      <c r="A82" s="266">
        <v>224</v>
      </c>
      <c r="B82" s="13" t="s">
        <v>447</v>
      </c>
      <c r="C82" s="267">
        <v>8572</v>
      </c>
      <c r="D82" s="268">
        <v>8.61</v>
      </c>
      <c r="E82" s="14">
        <v>14044309.11767303</v>
      </c>
      <c r="F82" s="14">
        <f>Tasaus[[#This Row],[Kunnallisvero (maksuunpantu), €]]*100/Tasaus[[#This Row],[Tuloveroprosentti 2023]]</f>
        <v>163116249.91490164</v>
      </c>
      <c r="G82" s="269">
        <f>Tasaus[[#This Row],[Verotettava tulo (kunnallisvero), €]]*($D$11/100)</f>
        <v>12021667.618728254</v>
      </c>
      <c r="H82" s="14">
        <v>1002279.419463719</v>
      </c>
      <c r="I82" s="15">
        <v>1133538.9724999999</v>
      </c>
      <c r="J82" s="15">
        <f>SUM(Tasaus[[#This Row],[Laskennallinen kunnallisvero, €]:[Laskennallinen kiinteistövero, €]])</f>
        <v>14157486.010691972</v>
      </c>
      <c r="K82" s="15">
        <f>Tasaus[[#This Row],[Laskennallinen verotulo yhteensä, €]]/Tasaus[[#This Row],[Asukasluku 31.12.2022]]</f>
        <v>1651.596594807743</v>
      </c>
      <c r="L82" s="34">
        <f>$K$11-Tasaus[[#This Row],[Laskennallinen verotulo yhteensä, €/asukas (=tasausraja)]]</f>
        <v>492.36340519225701</v>
      </c>
      <c r="M82" s="369">
        <f>IF(Tasaus[[#This Row],[Erotus = tasausraja - laskennallinen verotulo, €/asukas]]&gt;0,(Tasaus[[#This Row],[Erotus = tasausraja - laskennallinen verotulo, €/asukas]]*$B$7),(Tasaus[[#This Row],[Erotus = tasausraja - laskennallinen verotulo, €/asukas]]*$B$8))</f>
        <v>443.12706467303133</v>
      </c>
      <c r="N82" s="370">
        <f>Tasaus[[#This Row],[Tasaus,  €/asukas]]*Tasaus[[#This Row],[Asukasluku 31.12.2022]]</f>
        <v>3798485.1983772246</v>
      </c>
      <c r="P82" s="116"/>
      <c r="Q82" s="117"/>
      <c r="R82" s="118"/>
    </row>
    <row r="83" spans="1:18">
      <c r="A83" s="266">
        <v>226</v>
      </c>
      <c r="B83" s="13" t="s">
        <v>448</v>
      </c>
      <c r="C83" s="267">
        <v>3707</v>
      </c>
      <c r="D83" s="268">
        <v>8.86</v>
      </c>
      <c r="E83" s="14">
        <v>4810724.3833611896</v>
      </c>
      <c r="F83" s="14">
        <f>Tasaus[[#This Row],[Kunnallisvero (maksuunpantu), €]]*100/Tasaus[[#This Row],[Tuloveroprosentti 2023]]</f>
        <v>54297114.936356544</v>
      </c>
      <c r="G83" s="269">
        <f>Tasaus[[#This Row],[Verotettava tulo (kunnallisvero), €]]*($D$11/100)</f>
        <v>4001697.3708094782</v>
      </c>
      <c r="H83" s="14">
        <v>1123915.7001630913</v>
      </c>
      <c r="I83" s="15">
        <v>674010.66250000009</v>
      </c>
      <c r="J83" s="15">
        <f>SUM(Tasaus[[#This Row],[Laskennallinen kunnallisvero, €]:[Laskennallinen kiinteistövero, €]])</f>
        <v>5799623.7334725689</v>
      </c>
      <c r="K83" s="15">
        <f>Tasaus[[#This Row],[Laskennallinen verotulo yhteensä, €]]/Tasaus[[#This Row],[Asukasluku 31.12.2022]]</f>
        <v>1564.5059976996408</v>
      </c>
      <c r="L83" s="34">
        <f>$K$11-Tasaus[[#This Row],[Laskennallinen verotulo yhteensä, €/asukas (=tasausraja)]]</f>
        <v>579.45400230035921</v>
      </c>
      <c r="M83" s="369">
        <f>IF(Tasaus[[#This Row],[Erotus = tasausraja - laskennallinen verotulo, €/asukas]]&gt;0,(Tasaus[[#This Row],[Erotus = tasausraja - laskennallinen verotulo, €/asukas]]*$B$7),(Tasaus[[#This Row],[Erotus = tasausraja - laskennallinen verotulo, €/asukas]]*$B$8))</f>
        <v>521.50860207032326</v>
      </c>
      <c r="N83" s="370">
        <f>Tasaus[[#This Row],[Tasaus,  €/asukas]]*Tasaus[[#This Row],[Asukasluku 31.12.2022]]</f>
        <v>1933232.3878746883</v>
      </c>
      <c r="P83" s="116"/>
      <c r="Q83" s="117"/>
      <c r="R83" s="118"/>
    </row>
    <row r="84" spans="1:18">
      <c r="A84" s="266">
        <v>230</v>
      </c>
      <c r="B84" s="13" t="s">
        <v>449</v>
      </c>
      <c r="C84" s="267">
        <v>2264</v>
      </c>
      <c r="D84" s="268">
        <v>7.8599999999999994</v>
      </c>
      <c r="E84" s="14">
        <v>2575041.4149882798</v>
      </c>
      <c r="F84" s="14">
        <f>Tasaus[[#This Row],[Kunnallisvero (maksuunpantu), €]]*100/Tasaus[[#This Row],[Tuloveroprosentti 2023]]</f>
        <v>32761341.157611705</v>
      </c>
      <c r="G84" s="269">
        <f>Tasaus[[#This Row],[Verotettava tulo (kunnallisvero), €]]*($D$11/100)</f>
        <v>2414510.8433159832</v>
      </c>
      <c r="H84" s="14">
        <v>504014.73501081544</v>
      </c>
      <c r="I84" s="15">
        <v>329312.03654999996</v>
      </c>
      <c r="J84" s="15">
        <f>SUM(Tasaus[[#This Row],[Laskennallinen kunnallisvero, €]:[Laskennallinen kiinteistövero, €]])</f>
        <v>3247837.6148767984</v>
      </c>
      <c r="K84" s="15">
        <f>Tasaus[[#This Row],[Laskennallinen verotulo yhteensä, €]]/Tasaus[[#This Row],[Asukasluku 31.12.2022]]</f>
        <v>1434.5572503872784</v>
      </c>
      <c r="L84" s="34">
        <f>$K$11-Tasaus[[#This Row],[Laskennallinen verotulo yhteensä, €/asukas (=tasausraja)]]</f>
        <v>709.40274961272166</v>
      </c>
      <c r="M84" s="369">
        <f>IF(Tasaus[[#This Row],[Erotus = tasausraja - laskennallinen verotulo, €/asukas]]&gt;0,(Tasaus[[#This Row],[Erotus = tasausraja - laskennallinen verotulo, €/asukas]]*$B$7),(Tasaus[[#This Row],[Erotus = tasausraja - laskennallinen verotulo, €/asukas]]*$B$8))</f>
        <v>638.4624746514495</v>
      </c>
      <c r="N84" s="370">
        <f>Tasaus[[#This Row],[Tasaus,  €/asukas]]*Tasaus[[#This Row],[Asukasluku 31.12.2022]]</f>
        <v>1445479.0426108816</v>
      </c>
      <c r="P84" s="116"/>
      <c r="Q84" s="117"/>
      <c r="R84" s="118"/>
    </row>
    <row r="85" spans="1:18">
      <c r="A85" s="266">
        <v>231</v>
      </c>
      <c r="B85" s="13" t="s">
        <v>450</v>
      </c>
      <c r="C85" s="267">
        <v>1291</v>
      </c>
      <c r="D85" s="268">
        <v>9.360000000000003</v>
      </c>
      <c r="E85" s="14">
        <v>2455358.1725700297</v>
      </c>
      <c r="F85" s="14">
        <f>Tasaus[[#This Row],[Kunnallisvero (maksuunpantu), €]]*100/Tasaus[[#This Row],[Tuloveroprosentti 2023]]</f>
        <v>26232459.108654156</v>
      </c>
      <c r="G85" s="269">
        <f>Tasaus[[#This Row],[Verotettava tulo (kunnallisvero), €]]*($D$11/100)</f>
        <v>1933332.2363078117</v>
      </c>
      <c r="H85" s="14">
        <v>1031301.8770906198</v>
      </c>
      <c r="I85" s="15">
        <v>286276.40119999996</v>
      </c>
      <c r="J85" s="15">
        <f>SUM(Tasaus[[#This Row],[Laskennallinen kunnallisvero, €]:[Laskennallinen kiinteistövero, €]])</f>
        <v>3250910.5145984311</v>
      </c>
      <c r="K85" s="15">
        <f>Tasaus[[#This Row],[Laskennallinen verotulo yhteensä, €]]/Tasaus[[#This Row],[Asukasluku 31.12.2022]]</f>
        <v>2518.1336286587384</v>
      </c>
      <c r="L85" s="34">
        <f>$K$11-Tasaus[[#This Row],[Laskennallinen verotulo yhteensä, €/asukas (=tasausraja)]]</f>
        <v>-374.17362865873838</v>
      </c>
      <c r="M85" s="369">
        <f>IF(Tasaus[[#This Row],[Erotus = tasausraja - laskennallinen verotulo, €/asukas]]&gt;0,(Tasaus[[#This Row],[Erotus = tasausraja - laskennallinen verotulo, €/asukas]]*$B$7),(Tasaus[[#This Row],[Erotus = tasausraja - laskennallinen verotulo, €/asukas]]*$B$8))</f>
        <v>-37.417362865873841</v>
      </c>
      <c r="N85" s="370">
        <f>Tasaus[[#This Row],[Tasaus,  €/asukas]]*Tasaus[[#This Row],[Asukasluku 31.12.2022]]</f>
        <v>-48305.815459843128</v>
      </c>
      <c r="P85" s="116"/>
      <c r="Q85" s="117"/>
      <c r="R85" s="118"/>
    </row>
    <row r="86" spans="1:18">
      <c r="A86" s="266">
        <v>232</v>
      </c>
      <c r="B86" s="13" t="s">
        <v>451</v>
      </c>
      <c r="C86" s="267">
        <v>12685</v>
      </c>
      <c r="D86" s="268">
        <v>9.36</v>
      </c>
      <c r="E86" s="14">
        <v>19386065.789469607</v>
      </c>
      <c r="F86" s="14">
        <f>Tasaus[[#This Row],[Kunnallisvero (maksuunpantu), €]]*100/Tasaus[[#This Row],[Tuloveroprosentti 2023]]</f>
        <v>207116087.49433342</v>
      </c>
      <c r="G86" s="269">
        <f>Tasaus[[#This Row],[Verotettava tulo (kunnallisvero), €]]*($D$11/100)</f>
        <v>15264455.648332376</v>
      </c>
      <c r="H86" s="14">
        <v>3892873.3028664528</v>
      </c>
      <c r="I86" s="15">
        <v>1896867.4675500002</v>
      </c>
      <c r="J86" s="15">
        <f>SUM(Tasaus[[#This Row],[Laskennallinen kunnallisvero, €]:[Laskennallinen kiinteistövero, €]])</f>
        <v>21054196.418748826</v>
      </c>
      <c r="K86" s="15">
        <f>Tasaus[[#This Row],[Laskennallinen verotulo yhteensä, €]]/Tasaus[[#This Row],[Asukasluku 31.12.2022]]</f>
        <v>1659.7711012021148</v>
      </c>
      <c r="L86" s="34">
        <f>$K$11-Tasaus[[#This Row],[Laskennallinen verotulo yhteensä, €/asukas (=tasausraja)]]</f>
        <v>484.18889879788526</v>
      </c>
      <c r="M86" s="369">
        <f>IF(Tasaus[[#This Row],[Erotus = tasausraja - laskennallinen verotulo, €/asukas]]&gt;0,(Tasaus[[#This Row],[Erotus = tasausraja - laskennallinen verotulo, €/asukas]]*$B$7),(Tasaus[[#This Row],[Erotus = tasausraja - laskennallinen verotulo, €/asukas]]*$B$8))</f>
        <v>435.77000891809672</v>
      </c>
      <c r="N86" s="370">
        <f>Tasaus[[#This Row],[Tasaus,  €/asukas]]*Tasaus[[#This Row],[Asukasluku 31.12.2022]]</f>
        <v>5527742.5631260565</v>
      </c>
      <c r="P86" s="116"/>
      <c r="Q86" s="117"/>
      <c r="R86" s="118"/>
    </row>
    <row r="87" spans="1:18">
      <c r="A87" s="266">
        <v>233</v>
      </c>
      <c r="B87" s="13" t="s">
        <v>452</v>
      </c>
      <c r="C87" s="267">
        <v>15057</v>
      </c>
      <c r="D87" s="268">
        <v>9.11</v>
      </c>
      <c r="E87" s="14">
        <v>23153332.952894475</v>
      </c>
      <c r="F87" s="14">
        <f>Tasaus[[#This Row],[Kunnallisvero (maksuunpantu), €]]*100/Tasaus[[#This Row],[Tuloveroprosentti 2023]]</f>
        <v>254152941.3050985</v>
      </c>
      <c r="G87" s="269">
        <f>Tasaus[[#This Row],[Verotettava tulo (kunnallisvero), €]]*($D$11/100)</f>
        <v>18731071.774185762</v>
      </c>
      <c r="H87" s="14">
        <v>3046121.1417161231</v>
      </c>
      <c r="I87" s="15">
        <v>2350287.4331500004</v>
      </c>
      <c r="J87" s="15">
        <f>SUM(Tasaus[[#This Row],[Laskennallinen kunnallisvero, €]:[Laskennallinen kiinteistövero, €]])</f>
        <v>24127480.349051885</v>
      </c>
      <c r="K87" s="15">
        <f>Tasaus[[#This Row],[Laskennallinen verotulo yhteensä, €]]/Tasaus[[#This Row],[Asukasluku 31.12.2022]]</f>
        <v>1602.4095337086992</v>
      </c>
      <c r="L87" s="34">
        <f>$K$11-Tasaus[[#This Row],[Laskennallinen verotulo yhteensä, €/asukas (=tasausraja)]]</f>
        <v>541.55046629130084</v>
      </c>
      <c r="M87" s="369">
        <f>IF(Tasaus[[#This Row],[Erotus = tasausraja - laskennallinen verotulo, €/asukas]]&gt;0,(Tasaus[[#This Row],[Erotus = tasausraja - laskennallinen verotulo, €/asukas]]*$B$7),(Tasaus[[#This Row],[Erotus = tasausraja - laskennallinen verotulo, €/asukas]]*$B$8))</f>
        <v>487.39541966217075</v>
      </c>
      <c r="N87" s="370">
        <f>Tasaus[[#This Row],[Tasaus,  €/asukas]]*Tasaus[[#This Row],[Asukasluku 31.12.2022]]</f>
        <v>7338712.8338533053</v>
      </c>
      <c r="P87" s="116"/>
      <c r="Q87" s="117"/>
      <c r="R87" s="118"/>
    </row>
    <row r="88" spans="1:18">
      <c r="A88" s="266">
        <v>235</v>
      </c>
      <c r="B88" s="13" t="s">
        <v>453</v>
      </c>
      <c r="C88" s="267">
        <v>10434</v>
      </c>
      <c r="D88" s="268">
        <v>4.3599999999999994</v>
      </c>
      <c r="E88" s="14">
        <v>20471254.072045349</v>
      </c>
      <c r="F88" s="14">
        <f>Tasaus[[#This Row],[Kunnallisvero (maksuunpantu), €]]*100/Tasaus[[#This Row],[Tuloveroprosentti 2023]]</f>
        <v>469524175.96434289</v>
      </c>
      <c r="G88" s="269">
        <f>Tasaus[[#This Row],[Verotettava tulo (kunnallisvero), €]]*($D$11/100)</f>
        <v>34603931.768572077</v>
      </c>
      <c r="H88" s="14">
        <v>1497475.1603541542</v>
      </c>
      <c r="I88" s="15">
        <v>2953352.1703999997</v>
      </c>
      <c r="J88" s="15">
        <f>SUM(Tasaus[[#This Row],[Laskennallinen kunnallisvero, €]:[Laskennallinen kiinteistövero, €]])</f>
        <v>39054759.099326231</v>
      </c>
      <c r="K88" s="15">
        <f>Tasaus[[#This Row],[Laskennallinen verotulo yhteensä, €]]/Tasaus[[#This Row],[Asukasluku 31.12.2022]]</f>
        <v>3743.0284741543255</v>
      </c>
      <c r="L88" s="34">
        <f>$K$11-Tasaus[[#This Row],[Laskennallinen verotulo yhteensä, €/asukas (=tasausraja)]]</f>
        <v>-1599.0684741543255</v>
      </c>
      <c r="M88" s="369">
        <f>IF(Tasaus[[#This Row],[Erotus = tasausraja - laskennallinen verotulo, €/asukas]]&gt;0,(Tasaus[[#This Row],[Erotus = tasausraja - laskennallinen verotulo, €/asukas]]*$B$7),(Tasaus[[#This Row],[Erotus = tasausraja - laskennallinen verotulo, €/asukas]]*$B$8))</f>
        <v>-159.90684741543257</v>
      </c>
      <c r="N88" s="370">
        <f>Tasaus[[#This Row],[Tasaus,  €/asukas]]*Tasaus[[#This Row],[Asukasluku 31.12.2022]]</f>
        <v>-1668468.0459326233</v>
      </c>
      <c r="P88" s="116"/>
      <c r="Q88" s="117"/>
      <c r="R88" s="118"/>
    </row>
    <row r="89" spans="1:18">
      <c r="A89" s="266">
        <v>236</v>
      </c>
      <c r="B89" s="13" t="s">
        <v>454</v>
      </c>
      <c r="C89" s="267">
        <v>4177</v>
      </c>
      <c r="D89" s="268">
        <v>9.36</v>
      </c>
      <c r="E89" s="14">
        <v>6510949.0415036194</v>
      </c>
      <c r="F89" s="14">
        <f>Tasaus[[#This Row],[Kunnallisvero (maksuunpantu), €]]*100/Tasaus[[#This Row],[Tuloveroprosentti 2023]]</f>
        <v>69561421.383585677</v>
      </c>
      <c r="G89" s="269">
        <f>Tasaus[[#This Row],[Verotettava tulo (kunnallisvero), €]]*($D$11/100)</f>
        <v>5126676.7559702657</v>
      </c>
      <c r="H89" s="14">
        <v>711153.02635555295</v>
      </c>
      <c r="I89" s="15">
        <v>572863.3590500002</v>
      </c>
      <c r="J89" s="15">
        <f>SUM(Tasaus[[#This Row],[Laskennallinen kunnallisvero, €]:[Laskennallinen kiinteistövero, €]])</f>
        <v>6410693.1413758192</v>
      </c>
      <c r="K89" s="15">
        <f>Tasaus[[#This Row],[Laskennallinen verotulo yhteensä, €]]/Tasaus[[#This Row],[Asukasluku 31.12.2022]]</f>
        <v>1534.7601487612687</v>
      </c>
      <c r="L89" s="34">
        <f>$K$11-Tasaus[[#This Row],[Laskennallinen verotulo yhteensä, €/asukas (=tasausraja)]]</f>
        <v>609.1998512387313</v>
      </c>
      <c r="M89" s="369">
        <f>IF(Tasaus[[#This Row],[Erotus = tasausraja - laskennallinen verotulo, €/asukas]]&gt;0,(Tasaus[[#This Row],[Erotus = tasausraja - laskennallinen verotulo, €/asukas]]*$B$7),(Tasaus[[#This Row],[Erotus = tasausraja - laskennallinen verotulo, €/asukas]]*$B$8))</f>
        <v>548.27986611485824</v>
      </c>
      <c r="N89" s="370">
        <f>Tasaus[[#This Row],[Tasaus,  €/asukas]]*Tasaus[[#This Row],[Asukasluku 31.12.2022]]</f>
        <v>2290165.0007617627</v>
      </c>
      <c r="P89" s="116"/>
      <c r="Q89" s="117"/>
      <c r="R89" s="118"/>
    </row>
    <row r="90" spans="1:18">
      <c r="A90" s="266">
        <v>239</v>
      </c>
      <c r="B90" s="13" t="s">
        <v>455</v>
      </c>
      <c r="C90" s="267">
        <v>2073</v>
      </c>
      <c r="D90" s="268">
        <v>7.8599999999999994</v>
      </c>
      <c r="E90" s="14">
        <v>2558330.9245374301</v>
      </c>
      <c r="F90" s="14">
        <f>Tasaus[[#This Row],[Kunnallisvero (maksuunpantu), €]]*100/Tasaus[[#This Row],[Tuloveroprosentti 2023]]</f>
        <v>32548739.497931682</v>
      </c>
      <c r="G90" s="269">
        <f>Tasaus[[#This Row],[Verotettava tulo (kunnallisvero), €]]*($D$11/100)</f>
        <v>2398842.1009975653</v>
      </c>
      <c r="H90" s="14">
        <v>1545442.9640076661</v>
      </c>
      <c r="I90" s="15">
        <v>315048.07979999995</v>
      </c>
      <c r="J90" s="15">
        <f>SUM(Tasaus[[#This Row],[Laskennallinen kunnallisvero, €]:[Laskennallinen kiinteistövero, €]])</f>
        <v>4259333.1448052321</v>
      </c>
      <c r="K90" s="15">
        <f>Tasaus[[#This Row],[Laskennallinen verotulo yhteensä, €]]/Tasaus[[#This Row],[Asukasluku 31.12.2022]]</f>
        <v>2054.6710780536573</v>
      </c>
      <c r="L90" s="34">
        <f>$K$11-Tasaus[[#This Row],[Laskennallinen verotulo yhteensä, €/asukas (=tasausraja)]]</f>
        <v>89.288921946342725</v>
      </c>
      <c r="M90" s="369">
        <f>IF(Tasaus[[#This Row],[Erotus = tasausraja - laskennallinen verotulo, €/asukas]]&gt;0,(Tasaus[[#This Row],[Erotus = tasausraja - laskennallinen verotulo, €/asukas]]*$B$7),(Tasaus[[#This Row],[Erotus = tasausraja - laskennallinen verotulo, €/asukas]]*$B$8))</f>
        <v>80.360029751708453</v>
      </c>
      <c r="N90" s="370">
        <f>Tasaus[[#This Row],[Tasaus,  €/asukas]]*Tasaus[[#This Row],[Asukasluku 31.12.2022]]</f>
        <v>166586.34167529162</v>
      </c>
      <c r="P90" s="116"/>
      <c r="Q90" s="117"/>
      <c r="R90" s="118"/>
    </row>
    <row r="91" spans="1:18">
      <c r="A91" s="266">
        <v>240</v>
      </c>
      <c r="B91" s="13" t="s">
        <v>456</v>
      </c>
      <c r="C91" s="267">
        <v>19869</v>
      </c>
      <c r="D91" s="268">
        <v>9.11</v>
      </c>
      <c r="E91" s="14">
        <v>35506450.109966084</v>
      </c>
      <c r="F91" s="14">
        <f>Tasaus[[#This Row],[Kunnallisvero (maksuunpantu), €]]*100/Tasaus[[#This Row],[Tuloveroprosentti 2023]]</f>
        <v>389752471.02048391</v>
      </c>
      <c r="G91" s="269">
        <f>Tasaus[[#This Row],[Verotettava tulo (kunnallisvero), €]]*($D$11/100)</f>
        <v>28724757.114209671</v>
      </c>
      <c r="H91" s="14">
        <v>4800376.0142086865</v>
      </c>
      <c r="I91" s="15">
        <v>3524393.4559499999</v>
      </c>
      <c r="J91" s="15">
        <f>SUM(Tasaus[[#This Row],[Laskennallinen kunnallisvero, €]:[Laskennallinen kiinteistövero, €]])</f>
        <v>37049526.584368356</v>
      </c>
      <c r="K91" s="15">
        <f>Tasaus[[#This Row],[Laskennallinen verotulo yhteensä, €]]/Tasaus[[#This Row],[Asukasluku 31.12.2022]]</f>
        <v>1864.6900490396274</v>
      </c>
      <c r="L91" s="34">
        <f>$K$11-Tasaus[[#This Row],[Laskennallinen verotulo yhteensä, €/asukas (=tasausraja)]]</f>
        <v>279.26995096037263</v>
      </c>
      <c r="M91" s="369">
        <f>IF(Tasaus[[#This Row],[Erotus = tasausraja - laskennallinen verotulo, €/asukas]]&gt;0,(Tasaus[[#This Row],[Erotus = tasausraja - laskennallinen verotulo, €/asukas]]*$B$7),(Tasaus[[#This Row],[Erotus = tasausraja - laskennallinen verotulo, €/asukas]]*$B$8))</f>
        <v>251.34295586433538</v>
      </c>
      <c r="N91" s="370">
        <f>Tasaus[[#This Row],[Tasaus,  €/asukas]]*Tasaus[[#This Row],[Asukasluku 31.12.2022]]</f>
        <v>4993933.1900684796</v>
      </c>
      <c r="P91" s="116"/>
      <c r="Q91" s="117"/>
      <c r="R91" s="118"/>
    </row>
    <row r="92" spans="1:18">
      <c r="A92" s="266">
        <v>241</v>
      </c>
      <c r="B92" s="13" t="s">
        <v>457</v>
      </c>
      <c r="C92" s="267">
        <v>7848</v>
      </c>
      <c r="D92" s="268">
        <v>8.61</v>
      </c>
      <c r="E92" s="14">
        <v>14501363.613247627</v>
      </c>
      <c r="F92" s="14">
        <f>Tasaus[[#This Row],[Kunnallisvero (maksuunpantu), €]]*100/Tasaus[[#This Row],[Tuloveroprosentti 2023]]</f>
        <v>168424664.49764958</v>
      </c>
      <c r="G92" s="269">
        <f>Tasaus[[#This Row],[Verotettava tulo (kunnallisvero), €]]*($D$11/100)</f>
        <v>12412897.773476778</v>
      </c>
      <c r="H92" s="14">
        <v>1259306.4396555671</v>
      </c>
      <c r="I92" s="15">
        <v>1017117.7281000001</v>
      </c>
      <c r="J92" s="15">
        <f>SUM(Tasaus[[#This Row],[Laskennallinen kunnallisvero, €]:[Laskennallinen kiinteistövero, €]])</f>
        <v>14689321.941232344</v>
      </c>
      <c r="K92" s="15">
        <f>Tasaus[[#This Row],[Laskennallinen verotulo yhteensä, €]]/Tasaus[[#This Row],[Asukasluku 31.12.2022]]</f>
        <v>1871.728076099942</v>
      </c>
      <c r="L92" s="34">
        <f>$K$11-Tasaus[[#This Row],[Laskennallinen verotulo yhteensä, €/asukas (=tasausraja)]]</f>
        <v>272.23192390005806</v>
      </c>
      <c r="M92" s="369">
        <f>IF(Tasaus[[#This Row],[Erotus = tasausraja - laskennallinen verotulo, €/asukas]]&gt;0,(Tasaus[[#This Row],[Erotus = tasausraja - laskennallinen verotulo, €/asukas]]*$B$7),(Tasaus[[#This Row],[Erotus = tasausraja - laskennallinen verotulo, €/asukas]]*$B$8))</f>
        <v>245.00873151005226</v>
      </c>
      <c r="N92" s="370">
        <f>Tasaus[[#This Row],[Tasaus,  €/asukas]]*Tasaus[[#This Row],[Asukasluku 31.12.2022]]</f>
        <v>1922828.5248908901</v>
      </c>
      <c r="P92" s="116"/>
      <c r="Q92" s="117"/>
      <c r="R92" s="118"/>
    </row>
    <row r="93" spans="1:18">
      <c r="A93" s="266">
        <v>244</v>
      </c>
      <c r="B93" s="13" t="s">
        <v>458</v>
      </c>
      <c r="C93" s="267">
        <v>19521</v>
      </c>
      <c r="D93" s="268">
        <v>7.8599999999999994</v>
      </c>
      <c r="E93" s="14">
        <v>33140515.643051948</v>
      </c>
      <c r="F93" s="14">
        <f>Tasaus[[#This Row],[Kunnallisvero (maksuunpantu), €]]*100/Tasaus[[#This Row],[Tuloveroprosentti 2023]]</f>
        <v>421635059.07190776</v>
      </c>
      <c r="G93" s="269">
        <f>Tasaus[[#This Row],[Verotettava tulo (kunnallisvero), €]]*($D$11/100)</f>
        <v>31074503.853599608</v>
      </c>
      <c r="H93" s="14">
        <v>4000915.0174515666</v>
      </c>
      <c r="I93" s="15">
        <v>2669644.5363999996</v>
      </c>
      <c r="J93" s="15">
        <f>SUM(Tasaus[[#This Row],[Laskennallinen kunnallisvero, €]:[Laskennallinen kiinteistövero, €]])</f>
        <v>37745063.407451175</v>
      </c>
      <c r="K93" s="15">
        <f>Tasaus[[#This Row],[Laskennallinen verotulo yhteensä, €]]/Tasaus[[#This Row],[Asukasluku 31.12.2022]]</f>
        <v>1933.5619797884931</v>
      </c>
      <c r="L93" s="34">
        <f>$K$11-Tasaus[[#This Row],[Laskennallinen verotulo yhteensä, €/asukas (=tasausraja)]]</f>
        <v>210.39802021150695</v>
      </c>
      <c r="M93" s="369">
        <f>IF(Tasaus[[#This Row],[Erotus = tasausraja - laskennallinen verotulo, €/asukas]]&gt;0,(Tasaus[[#This Row],[Erotus = tasausraja - laskennallinen verotulo, €/asukas]]*$B$7),(Tasaus[[#This Row],[Erotus = tasausraja - laskennallinen verotulo, €/asukas]]*$B$8))</f>
        <v>189.35821819035627</v>
      </c>
      <c r="N93" s="370">
        <f>Tasaus[[#This Row],[Tasaus,  €/asukas]]*Tasaus[[#This Row],[Asukasluku 31.12.2022]]</f>
        <v>3696461.7772939447</v>
      </c>
      <c r="P93" s="116"/>
      <c r="Q93" s="117"/>
      <c r="R93" s="118"/>
    </row>
    <row r="94" spans="1:18">
      <c r="A94" s="266">
        <v>245</v>
      </c>
      <c r="B94" s="13" t="s">
        <v>459</v>
      </c>
      <c r="C94" s="267">
        <v>37908</v>
      </c>
      <c r="D94" s="268">
        <v>6.6099999999999994</v>
      </c>
      <c r="E94" s="14">
        <v>59517889.329255559</v>
      </c>
      <c r="F94" s="14">
        <f>Tasaus[[#This Row],[Kunnallisvero (maksuunpantu), €]]*100/Tasaus[[#This Row],[Tuloveroprosentti 2023]]</f>
        <v>900421926.31248963</v>
      </c>
      <c r="G94" s="269">
        <f>Tasaus[[#This Row],[Verotettava tulo (kunnallisvero), €]]*($D$11/100)</f>
        <v>66361095.969230503</v>
      </c>
      <c r="H94" s="14">
        <v>7352876.1827214081</v>
      </c>
      <c r="I94" s="15">
        <v>6151453.4490999999</v>
      </c>
      <c r="J94" s="15">
        <f>SUM(Tasaus[[#This Row],[Laskennallinen kunnallisvero, €]:[Laskennallinen kiinteistövero, €]])</f>
        <v>79865425.601051912</v>
      </c>
      <c r="K94" s="15">
        <f>Tasaus[[#This Row],[Laskennallinen verotulo yhteensä, €]]/Tasaus[[#This Row],[Asukasluku 31.12.2022]]</f>
        <v>2106.8224543909441</v>
      </c>
      <c r="L94" s="34">
        <f>$K$11-Tasaus[[#This Row],[Laskennallinen verotulo yhteensä, €/asukas (=tasausraja)]]</f>
        <v>37.137545609055906</v>
      </c>
      <c r="M94" s="369">
        <f>IF(Tasaus[[#This Row],[Erotus = tasausraja - laskennallinen verotulo, €/asukas]]&gt;0,(Tasaus[[#This Row],[Erotus = tasausraja - laskennallinen verotulo, €/asukas]]*$B$7),(Tasaus[[#This Row],[Erotus = tasausraja - laskennallinen verotulo, €/asukas]]*$B$8))</f>
        <v>33.423791048150314</v>
      </c>
      <c r="N94" s="370">
        <f>Tasaus[[#This Row],[Tasaus,  €/asukas]]*Tasaus[[#This Row],[Asukasluku 31.12.2022]]</f>
        <v>1267029.0710532821</v>
      </c>
      <c r="P94" s="116"/>
      <c r="Q94" s="117"/>
      <c r="R94" s="118"/>
    </row>
    <row r="95" spans="1:18">
      <c r="A95" s="266">
        <v>249</v>
      </c>
      <c r="B95" s="13" t="s">
        <v>460</v>
      </c>
      <c r="C95" s="267">
        <v>9220</v>
      </c>
      <c r="D95" s="268">
        <v>8.86</v>
      </c>
      <c r="E95" s="14">
        <v>14698818.381493891</v>
      </c>
      <c r="F95" s="14">
        <f>Tasaus[[#This Row],[Kunnallisvero (maksuunpantu), €]]*100/Tasaus[[#This Row],[Tuloveroprosentti 2023]]</f>
        <v>165900884.66697395</v>
      </c>
      <c r="G95" s="269">
        <f>Tasaus[[#This Row],[Verotettava tulo (kunnallisvero), €]]*($D$11/100)</f>
        <v>12226895.199955983</v>
      </c>
      <c r="H95" s="14">
        <v>2633958.3881903412</v>
      </c>
      <c r="I95" s="15">
        <v>1577543.0946500001</v>
      </c>
      <c r="J95" s="15">
        <f>SUM(Tasaus[[#This Row],[Laskennallinen kunnallisvero, €]:[Laskennallinen kiinteistövero, €]])</f>
        <v>16438396.682796326</v>
      </c>
      <c r="K95" s="15">
        <f>Tasaus[[#This Row],[Laskennallinen verotulo yhteensä, €]]/Tasaus[[#This Row],[Asukasluku 31.12.2022]]</f>
        <v>1782.9063647284518</v>
      </c>
      <c r="L95" s="34">
        <f>$K$11-Tasaus[[#This Row],[Laskennallinen verotulo yhteensä, €/asukas (=tasausraja)]]</f>
        <v>361.05363527154827</v>
      </c>
      <c r="M95" s="369">
        <f>IF(Tasaus[[#This Row],[Erotus = tasausraja - laskennallinen verotulo, €/asukas]]&gt;0,(Tasaus[[#This Row],[Erotus = tasausraja - laskennallinen verotulo, €/asukas]]*$B$7),(Tasaus[[#This Row],[Erotus = tasausraja - laskennallinen verotulo, €/asukas]]*$B$8))</f>
        <v>324.94827174439348</v>
      </c>
      <c r="N95" s="370">
        <f>Tasaus[[#This Row],[Tasaus,  €/asukas]]*Tasaus[[#This Row],[Asukasluku 31.12.2022]]</f>
        <v>2996023.0654833079</v>
      </c>
      <c r="P95" s="116"/>
      <c r="Q95" s="117"/>
      <c r="R95" s="118"/>
    </row>
    <row r="96" spans="1:18">
      <c r="A96" s="266">
        <v>250</v>
      </c>
      <c r="B96" s="13" t="s">
        <v>461</v>
      </c>
      <c r="C96" s="267">
        <v>1741</v>
      </c>
      <c r="D96" s="268">
        <v>8.86</v>
      </c>
      <c r="E96" s="14">
        <v>2298731.19720909</v>
      </c>
      <c r="F96" s="14">
        <f>Tasaus[[#This Row],[Kunnallisvero (maksuunpantu), €]]*100/Tasaus[[#This Row],[Tuloveroprosentti 2023]]</f>
        <v>25945047.372563094</v>
      </c>
      <c r="G96" s="269">
        <f>Tasaus[[#This Row],[Verotettava tulo (kunnallisvero), €]]*($D$11/100)</f>
        <v>1912149.9913579004</v>
      </c>
      <c r="H96" s="14">
        <v>665261.43005894683</v>
      </c>
      <c r="I96" s="15">
        <v>295576.62780000002</v>
      </c>
      <c r="J96" s="15">
        <f>SUM(Tasaus[[#This Row],[Laskennallinen kunnallisvero, €]:[Laskennallinen kiinteistövero, €]])</f>
        <v>2872988.0492168469</v>
      </c>
      <c r="K96" s="15">
        <f>Tasaus[[#This Row],[Laskennallinen verotulo yhteensä, €]]/Tasaus[[#This Row],[Asukasluku 31.12.2022]]</f>
        <v>1650.194169567402</v>
      </c>
      <c r="L96" s="34">
        <f>$K$11-Tasaus[[#This Row],[Laskennallinen verotulo yhteensä, €/asukas (=tasausraja)]]</f>
        <v>493.76583043259802</v>
      </c>
      <c r="M96" s="369">
        <f>IF(Tasaus[[#This Row],[Erotus = tasausraja - laskennallinen verotulo, €/asukas]]&gt;0,(Tasaus[[#This Row],[Erotus = tasausraja - laskennallinen verotulo, €/asukas]]*$B$7),(Tasaus[[#This Row],[Erotus = tasausraja - laskennallinen verotulo, €/asukas]]*$B$8))</f>
        <v>444.38924738933821</v>
      </c>
      <c r="N96" s="370">
        <f>Tasaus[[#This Row],[Tasaus,  €/asukas]]*Tasaus[[#This Row],[Asukasluku 31.12.2022]]</f>
        <v>773681.67970483785</v>
      </c>
      <c r="P96" s="116"/>
      <c r="Q96" s="117"/>
      <c r="R96" s="118"/>
    </row>
    <row r="97" spans="1:18">
      <c r="A97" s="266">
        <v>256</v>
      </c>
      <c r="B97" s="13" t="s">
        <v>462</v>
      </c>
      <c r="C97" s="267">
        <v>1547</v>
      </c>
      <c r="D97" s="268">
        <v>8.86</v>
      </c>
      <c r="E97" s="14">
        <v>1794887.3283721099</v>
      </c>
      <c r="F97" s="14">
        <f>Tasaus[[#This Row],[Kunnallisvero (maksuunpantu), €]]*100/Tasaus[[#This Row],[Tuloveroprosentti 2023]]</f>
        <v>20258321.990655869</v>
      </c>
      <c r="G97" s="269">
        <f>Tasaus[[#This Row],[Verotettava tulo (kunnallisvero), €]]*($D$11/100)</f>
        <v>1493038.330711338</v>
      </c>
      <c r="H97" s="14">
        <v>492129.37921666744</v>
      </c>
      <c r="I97" s="15">
        <v>222185.89019999999</v>
      </c>
      <c r="J97" s="15">
        <f>SUM(Tasaus[[#This Row],[Laskennallinen kunnallisvero, €]:[Laskennallinen kiinteistövero, €]])</f>
        <v>2207353.6001280053</v>
      </c>
      <c r="K97" s="15">
        <f>Tasaus[[#This Row],[Laskennallinen verotulo yhteensä, €]]/Tasaus[[#This Row],[Asukasluku 31.12.2022]]</f>
        <v>1426.8607628493894</v>
      </c>
      <c r="L97" s="34">
        <f>$K$11-Tasaus[[#This Row],[Laskennallinen verotulo yhteensä, €/asukas (=tasausraja)]]</f>
        <v>717.09923715061063</v>
      </c>
      <c r="M97" s="369">
        <f>IF(Tasaus[[#This Row],[Erotus = tasausraja - laskennallinen verotulo, €/asukas]]&gt;0,(Tasaus[[#This Row],[Erotus = tasausraja - laskennallinen verotulo, €/asukas]]*$B$7),(Tasaus[[#This Row],[Erotus = tasausraja - laskennallinen verotulo, €/asukas]]*$B$8))</f>
        <v>645.38931343554964</v>
      </c>
      <c r="N97" s="370">
        <f>Tasaus[[#This Row],[Tasaus,  €/asukas]]*Tasaus[[#This Row],[Asukasluku 31.12.2022]]</f>
        <v>998417.26788479532</v>
      </c>
      <c r="P97" s="116"/>
      <c r="Q97" s="117"/>
      <c r="R97" s="118"/>
    </row>
    <row r="98" spans="1:18">
      <c r="A98" s="266">
        <v>257</v>
      </c>
      <c r="B98" s="13" t="s">
        <v>463</v>
      </c>
      <c r="C98" s="267">
        <v>40828</v>
      </c>
      <c r="D98" s="268">
        <v>7.1099999999999994</v>
      </c>
      <c r="E98" s="14">
        <v>80190120.921588168</v>
      </c>
      <c r="F98" s="14">
        <f>Tasaus[[#This Row],[Kunnallisvero (maksuunpantu), €]]*100/Tasaus[[#This Row],[Tuloveroprosentti 2023]]</f>
        <v>1127849801.9913948</v>
      </c>
      <c r="G98" s="269">
        <f>Tasaus[[#This Row],[Verotettava tulo (kunnallisvero), €]]*($D$11/100)</f>
        <v>83122530.406765819</v>
      </c>
      <c r="H98" s="14">
        <v>6791332.1725145206</v>
      </c>
      <c r="I98" s="15">
        <v>8094308.6569499997</v>
      </c>
      <c r="J98" s="15">
        <f>SUM(Tasaus[[#This Row],[Laskennallinen kunnallisvero, €]:[Laskennallinen kiinteistövero, €]])</f>
        <v>98008171.236230344</v>
      </c>
      <c r="K98" s="15">
        <f>Tasaus[[#This Row],[Laskennallinen verotulo yhteensä, €]]/Tasaus[[#This Row],[Asukasluku 31.12.2022]]</f>
        <v>2400.5136483842057</v>
      </c>
      <c r="L98" s="34">
        <f>$K$11-Tasaus[[#This Row],[Laskennallinen verotulo yhteensä, €/asukas (=tasausraja)]]</f>
        <v>-256.55364838420564</v>
      </c>
      <c r="M98" s="369">
        <f>IF(Tasaus[[#This Row],[Erotus = tasausraja - laskennallinen verotulo, €/asukas]]&gt;0,(Tasaus[[#This Row],[Erotus = tasausraja - laskennallinen verotulo, €/asukas]]*$B$7),(Tasaus[[#This Row],[Erotus = tasausraja - laskennallinen verotulo, €/asukas]]*$B$8))</f>
        <v>-25.655364838420567</v>
      </c>
      <c r="N98" s="370">
        <f>Tasaus[[#This Row],[Tasaus,  €/asukas]]*Tasaus[[#This Row],[Asukasluku 31.12.2022]]</f>
        <v>-1047457.2356230349</v>
      </c>
      <c r="P98" s="116"/>
      <c r="Q98" s="117"/>
      <c r="R98" s="118"/>
    </row>
    <row r="99" spans="1:18">
      <c r="A99" s="266">
        <v>260</v>
      </c>
      <c r="B99" s="13" t="s">
        <v>464</v>
      </c>
      <c r="C99" s="267">
        <v>9568</v>
      </c>
      <c r="D99" s="268">
        <v>8.11</v>
      </c>
      <c r="E99" s="14">
        <v>11810342.361832909</v>
      </c>
      <c r="F99" s="14">
        <f>Tasaus[[#This Row],[Kunnallisvero (maksuunpantu), €]]*100/Tasaus[[#This Row],[Tuloveroprosentti 2023]]</f>
        <v>145626909.51705191</v>
      </c>
      <c r="G99" s="269">
        <f>Tasaus[[#This Row],[Verotettava tulo (kunnallisvero), €]]*($D$11/100)</f>
        <v>10732703.231406728</v>
      </c>
      <c r="H99" s="14">
        <v>2098494.9578561024</v>
      </c>
      <c r="I99" s="15">
        <v>1644680.0359999998</v>
      </c>
      <c r="J99" s="15">
        <f>SUM(Tasaus[[#This Row],[Laskennallinen kunnallisvero, €]:[Laskennallinen kiinteistövero, €]])</f>
        <v>14475878.22526283</v>
      </c>
      <c r="K99" s="15">
        <f>Tasaus[[#This Row],[Laskennallinen verotulo yhteensä, €]]/Tasaus[[#This Row],[Asukasluku 31.12.2022]]</f>
        <v>1512.9471389279713</v>
      </c>
      <c r="L99" s="34">
        <f>$K$11-Tasaus[[#This Row],[Laskennallinen verotulo yhteensä, €/asukas (=tasausraja)]]</f>
        <v>631.01286107202873</v>
      </c>
      <c r="M99" s="369">
        <f>IF(Tasaus[[#This Row],[Erotus = tasausraja - laskennallinen verotulo, €/asukas]]&gt;0,(Tasaus[[#This Row],[Erotus = tasausraja - laskennallinen verotulo, €/asukas]]*$B$7),(Tasaus[[#This Row],[Erotus = tasausraja - laskennallinen verotulo, €/asukas]]*$B$8))</f>
        <v>567.91157496482583</v>
      </c>
      <c r="N99" s="370">
        <f>Tasaus[[#This Row],[Tasaus,  €/asukas]]*Tasaus[[#This Row],[Asukasluku 31.12.2022]]</f>
        <v>5433777.9492634535</v>
      </c>
      <c r="P99" s="116"/>
      <c r="Q99" s="117"/>
      <c r="R99" s="118"/>
    </row>
    <row r="100" spans="1:18">
      <c r="A100" s="266">
        <v>261</v>
      </c>
      <c r="B100" s="13" t="s">
        <v>465</v>
      </c>
      <c r="C100" s="267">
        <v>6428</v>
      </c>
      <c r="D100" s="268">
        <v>7.6099999999999994</v>
      </c>
      <c r="E100" s="14">
        <v>10061341.13696908</v>
      </c>
      <c r="F100" s="14">
        <f>Tasaus[[#This Row],[Kunnallisvero (maksuunpantu), €]]*100/Tasaus[[#This Row],[Tuloveroprosentti 2023]]</f>
        <v>132212104.29657136</v>
      </c>
      <c r="G100" s="269">
        <f>Tasaus[[#This Row],[Verotettava tulo (kunnallisvero), €]]*($D$11/100)</f>
        <v>9744032.0866573118</v>
      </c>
      <c r="H100" s="14">
        <v>5542653.3400144354</v>
      </c>
      <c r="I100" s="15">
        <v>4009201.1504500001</v>
      </c>
      <c r="J100" s="15">
        <f>SUM(Tasaus[[#This Row],[Laskennallinen kunnallisvero, €]:[Laskennallinen kiinteistövero, €]])</f>
        <v>19295886.577121746</v>
      </c>
      <c r="K100" s="15">
        <f>Tasaus[[#This Row],[Laskennallinen verotulo yhteensä, €]]/Tasaus[[#This Row],[Asukasluku 31.12.2022]]</f>
        <v>3001.8491874800475</v>
      </c>
      <c r="L100" s="34">
        <f>$K$11-Tasaus[[#This Row],[Laskennallinen verotulo yhteensä, €/asukas (=tasausraja)]]</f>
        <v>-857.88918748004744</v>
      </c>
      <c r="M100" s="369">
        <f>IF(Tasaus[[#This Row],[Erotus = tasausraja - laskennallinen verotulo, €/asukas]]&gt;0,(Tasaus[[#This Row],[Erotus = tasausraja - laskennallinen verotulo, €/asukas]]*$B$7),(Tasaus[[#This Row],[Erotus = tasausraja - laskennallinen verotulo, €/asukas]]*$B$8))</f>
        <v>-85.788918748004747</v>
      </c>
      <c r="N100" s="370">
        <f>Tasaus[[#This Row],[Tasaus,  €/asukas]]*Tasaus[[#This Row],[Asukasluku 31.12.2022]]</f>
        <v>-551451.16971217457</v>
      </c>
      <c r="P100" s="116"/>
      <c r="Q100" s="117"/>
      <c r="R100" s="118"/>
    </row>
    <row r="101" spans="1:18">
      <c r="A101" s="266">
        <v>263</v>
      </c>
      <c r="B101" s="13" t="s">
        <v>466</v>
      </c>
      <c r="C101" s="267">
        <v>7578</v>
      </c>
      <c r="D101" s="268">
        <v>9.11</v>
      </c>
      <c r="E101" s="14">
        <v>10228988.003330039</v>
      </c>
      <c r="F101" s="14">
        <f>Tasaus[[#This Row],[Kunnallisvero (maksuunpantu), €]]*100/Tasaus[[#This Row],[Tuloveroprosentti 2023]]</f>
        <v>112283073.58210801</v>
      </c>
      <c r="G101" s="269">
        <f>Tasaus[[#This Row],[Verotettava tulo (kunnallisvero), €]]*($D$11/100)</f>
        <v>8275262.5230013616</v>
      </c>
      <c r="H101" s="14">
        <v>1607225.5319975137</v>
      </c>
      <c r="I101" s="15">
        <v>957818.35869999998</v>
      </c>
      <c r="J101" s="15">
        <f>SUM(Tasaus[[#This Row],[Laskennallinen kunnallisvero, €]:[Laskennallinen kiinteistövero, €]])</f>
        <v>10840306.413698874</v>
      </c>
      <c r="K101" s="15">
        <f>Tasaus[[#This Row],[Laskennallinen verotulo yhteensä, €]]/Tasaus[[#This Row],[Asukasluku 31.12.2022]]</f>
        <v>1430.4970194904822</v>
      </c>
      <c r="L101" s="34">
        <f>$K$11-Tasaus[[#This Row],[Laskennallinen verotulo yhteensä, €/asukas (=tasausraja)]]</f>
        <v>713.46298050951782</v>
      </c>
      <c r="M101" s="369">
        <f>IF(Tasaus[[#This Row],[Erotus = tasausraja - laskennallinen verotulo, €/asukas]]&gt;0,(Tasaus[[#This Row],[Erotus = tasausraja - laskennallinen verotulo, €/asukas]]*$B$7),(Tasaus[[#This Row],[Erotus = tasausraja - laskennallinen verotulo, €/asukas]]*$B$8))</f>
        <v>642.11668245856606</v>
      </c>
      <c r="N101" s="370">
        <f>Tasaus[[#This Row],[Tasaus,  €/asukas]]*Tasaus[[#This Row],[Asukasluku 31.12.2022]]</f>
        <v>4865960.2196710138</v>
      </c>
      <c r="P101" s="116"/>
      <c r="Q101" s="117"/>
      <c r="R101" s="118"/>
    </row>
    <row r="102" spans="1:18">
      <c r="A102" s="266">
        <v>265</v>
      </c>
      <c r="B102" s="13" t="s">
        <v>467</v>
      </c>
      <c r="C102" s="267">
        <v>1076</v>
      </c>
      <c r="D102" s="268">
        <v>9.11</v>
      </c>
      <c r="E102" s="14">
        <v>1303689.23609253</v>
      </c>
      <c r="F102" s="14">
        <f>Tasaus[[#This Row],[Kunnallisvero (maksuunpantu), €]]*100/Tasaus[[#This Row],[Tuloveroprosentti 2023]]</f>
        <v>14310529.485099122</v>
      </c>
      <c r="G102" s="269">
        <f>Tasaus[[#This Row],[Verotettava tulo (kunnallisvero), €]]*($D$11/100)</f>
        <v>1054686.0230518056</v>
      </c>
      <c r="H102" s="14">
        <v>503019.60133717314</v>
      </c>
      <c r="I102" s="15">
        <v>245441.78944999998</v>
      </c>
      <c r="J102" s="15">
        <f>SUM(Tasaus[[#This Row],[Laskennallinen kunnallisvero, €]:[Laskennallinen kiinteistövero, €]])</f>
        <v>1803147.4138389789</v>
      </c>
      <c r="K102" s="15">
        <f>Tasaus[[#This Row],[Laskennallinen verotulo yhteensä, €]]/Tasaus[[#This Row],[Asukasluku 31.12.2022]]</f>
        <v>1675.7875593299059</v>
      </c>
      <c r="L102" s="34">
        <f>$K$11-Tasaus[[#This Row],[Laskennallinen verotulo yhteensä, €/asukas (=tasausraja)]]</f>
        <v>468.17244067009415</v>
      </c>
      <c r="M102" s="369">
        <f>IF(Tasaus[[#This Row],[Erotus = tasausraja - laskennallinen verotulo, €/asukas]]&gt;0,(Tasaus[[#This Row],[Erotus = tasausraja - laskennallinen verotulo, €/asukas]]*$B$7),(Tasaus[[#This Row],[Erotus = tasausraja - laskennallinen verotulo, €/asukas]]*$B$8))</f>
        <v>421.35519660308472</v>
      </c>
      <c r="N102" s="370">
        <f>Tasaus[[#This Row],[Tasaus,  €/asukas]]*Tasaus[[#This Row],[Asukasluku 31.12.2022]]</f>
        <v>453378.19154491916</v>
      </c>
      <c r="P102" s="116"/>
      <c r="Q102" s="117"/>
      <c r="R102" s="118"/>
    </row>
    <row r="103" spans="1:18">
      <c r="A103" s="266">
        <v>271</v>
      </c>
      <c r="B103" s="13" t="s">
        <v>468</v>
      </c>
      <c r="C103" s="267">
        <v>6812</v>
      </c>
      <c r="D103" s="268">
        <v>9.11</v>
      </c>
      <c r="E103" s="14">
        <v>10930557.621339507</v>
      </c>
      <c r="F103" s="14">
        <f>Tasaus[[#This Row],[Kunnallisvero (maksuunpantu), €]]*100/Tasaus[[#This Row],[Tuloveroprosentti 2023]]</f>
        <v>119984167.08385849</v>
      </c>
      <c r="G103" s="269">
        <f>Tasaus[[#This Row],[Verotettava tulo (kunnallisvero), €]]*($D$11/100)</f>
        <v>8842833.1140803732</v>
      </c>
      <c r="H103" s="14">
        <v>1096359.202056536</v>
      </c>
      <c r="I103" s="15">
        <v>1080258.7536499999</v>
      </c>
      <c r="J103" s="15">
        <f>SUM(Tasaus[[#This Row],[Laskennallinen kunnallisvero, €]:[Laskennallinen kiinteistövero, €]])</f>
        <v>11019451.06978691</v>
      </c>
      <c r="K103" s="15">
        <f>Tasaus[[#This Row],[Laskennallinen verotulo yhteensä, €]]/Tasaus[[#This Row],[Asukasluku 31.12.2022]]</f>
        <v>1617.6528288001923</v>
      </c>
      <c r="L103" s="34">
        <f>$K$11-Tasaus[[#This Row],[Laskennallinen verotulo yhteensä, €/asukas (=tasausraja)]]</f>
        <v>526.30717119980773</v>
      </c>
      <c r="M103" s="369">
        <f>IF(Tasaus[[#This Row],[Erotus = tasausraja - laskennallinen verotulo, €/asukas]]&gt;0,(Tasaus[[#This Row],[Erotus = tasausraja - laskennallinen verotulo, €/asukas]]*$B$7),(Tasaus[[#This Row],[Erotus = tasausraja - laskennallinen verotulo, €/asukas]]*$B$8))</f>
        <v>473.67645407982695</v>
      </c>
      <c r="N103" s="370">
        <f>Tasaus[[#This Row],[Tasaus,  €/asukas]]*Tasaus[[#This Row],[Asukasluku 31.12.2022]]</f>
        <v>3226684.0051917811</v>
      </c>
      <c r="P103" s="116"/>
      <c r="Q103" s="117"/>
      <c r="R103" s="118"/>
    </row>
    <row r="104" spans="1:18">
      <c r="A104" s="266">
        <v>272</v>
      </c>
      <c r="B104" s="13" t="s">
        <v>469</v>
      </c>
      <c r="C104" s="267">
        <v>47866</v>
      </c>
      <c r="D104" s="268">
        <v>8.8599999999999959</v>
      </c>
      <c r="E104" s="14">
        <v>82480000.07520707</v>
      </c>
      <c r="F104" s="14">
        <f>Tasaus[[#This Row],[Kunnallisvero (maksuunpantu), €]]*100/Tasaus[[#This Row],[Tuloveroprosentti 2023]]</f>
        <v>930925508.74951589</v>
      </c>
      <c r="G104" s="269">
        <f>Tasaus[[#This Row],[Verotettava tulo (kunnallisvero), €]]*($D$11/100)</f>
        <v>68609209.99483934</v>
      </c>
      <c r="H104" s="14">
        <v>15208099.56919398</v>
      </c>
      <c r="I104" s="15">
        <v>7337010.4787999997</v>
      </c>
      <c r="J104" s="15">
        <f>SUM(Tasaus[[#This Row],[Laskennallinen kunnallisvero, €]:[Laskennallinen kiinteistövero, €]])</f>
        <v>91154320.042833313</v>
      </c>
      <c r="K104" s="15">
        <f>Tasaus[[#This Row],[Laskennallinen verotulo yhteensä, €]]/Tasaus[[#This Row],[Asukasluku 31.12.2022]]</f>
        <v>1904.3646856397718</v>
      </c>
      <c r="L104" s="34">
        <f>$K$11-Tasaus[[#This Row],[Laskennallinen verotulo yhteensä, €/asukas (=tasausraja)]]</f>
        <v>239.59531436022826</v>
      </c>
      <c r="M104" s="369">
        <f>IF(Tasaus[[#This Row],[Erotus = tasausraja - laskennallinen verotulo, €/asukas]]&gt;0,(Tasaus[[#This Row],[Erotus = tasausraja - laskennallinen verotulo, €/asukas]]*$B$7),(Tasaus[[#This Row],[Erotus = tasausraja - laskennallinen verotulo, €/asukas]]*$B$8))</f>
        <v>215.63578292420544</v>
      </c>
      <c r="N104" s="370">
        <f>Tasaus[[#This Row],[Tasaus,  €/asukas]]*Tasaus[[#This Row],[Asukasluku 31.12.2022]]</f>
        <v>10321622.385450019</v>
      </c>
      <c r="P104" s="116"/>
      <c r="Q104" s="117"/>
      <c r="R104" s="118"/>
    </row>
    <row r="105" spans="1:18">
      <c r="A105" s="266">
        <v>273</v>
      </c>
      <c r="B105" s="13" t="s">
        <v>470</v>
      </c>
      <c r="C105" s="267">
        <v>3953</v>
      </c>
      <c r="D105" s="268">
        <v>7.3599999999999994</v>
      </c>
      <c r="E105" s="14">
        <v>5515003.8106329599</v>
      </c>
      <c r="F105" s="14">
        <f>Tasaus[[#This Row],[Kunnallisvero (maksuunpantu), €]]*100/Tasaus[[#This Row],[Tuloveroprosentti 2023]]</f>
        <v>74932116.992295653</v>
      </c>
      <c r="G105" s="269">
        <f>Tasaus[[#This Row],[Verotettava tulo (kunnallisvero), €]]*($D$11/100)</f>
        <v>5522497.0223321905</v>
      </c>
      <c r="H105" s="14">
        <v>756795.65481312678</v>
      </c>
      <c r="I105" s="15">
        <v>2210854.6985499999</v>
      </c>
      <c r="J105" s="15">
        <f>SUM(Tasaus[[#This Row],[Laskennallinen kunnallisvero, €]:[Laskennallinen kiinteistövero, €]])</f>
        <v>8490147.375695318</v>
      </c>
      <c r="K105" s="15">
        <f>Tasaus[[#This Row],[Laskennallinen verotulo yhteensä, €]]/Tasaus[[#This Row],[Asukasluku 31.12.2022]]</f>
        <v>2147.7731787744292</v>
      </c>
      <c r="L105" s="34">
        <f>$K$11-Tasaus[[#This Row],[Laskennallinen verotulo yhteensä, €/asukas (=tasausraja)]]</f>
        <v>-3.8131787744291614</v>
      </c>
      <c r="M105" s="369">
        <f>IF(Tasaus[[#This Row],[Erotus = tasausraja - laskennallinen verotulo, €/asukas]]&gt;0,(Tasaus[[#This Row],[Erotus = tasausraja - laskennallinen verotulo, €/asukas]]*$B$7),(Tasaus[[#This Row],[Erotus = tasausraja - laskennallinen verotulo, €/asukas]]*$B$8))</f>
        <v>-0.38131787744291618</v>
      </c>
      <c r="N105" s="370">
        <f>Tasaus[[#This Row],[Tasaus,  €/asukas]]*Tasaus[[#This Row],[Asukasluku 31.12.2022]]</f>
        <v>-1507.3495695318477</v>
      </c>
      <c r="P105" s="116"/>
      <c r="Q105" s="117"/>
      <c r="R105" s="118"/>
    </row>
    <row r="106" spans="1:18">
      <c r="A106" s="266">
        <v>275</v>
      </c>
      <c r="B106" s="13" t="s">
        <v>471</v>
      </c>
      <c r="C106" s="267">
        <v>2519</v>
      </c>
      <c r="D106" s="268">
        <v>9.36</v>
      </c>
      <c r="E106" s="14">
        <v>3626718.38968691</v>
      </c>
      <c r="F106" s="14">
        <f>Tasaus[[#This Row],[Kunnallisvero (maksuunpantu), €]]*100/Tasaus[[#This Row],[Tuloveroprosentti 2023]]</f>
        <v>38746991.342808872</v>
      </c>
      <c r="G106" s="269">
        <f>Tasaus[[#This Row],[Verotettava tulo (kunnallisvero), €]]*($D$11/100)</f>
        <v>2855653.2619650145</v>
      </c>
      <c r="H106" s="14">
        <v>650568.63914362458</v>
      </c>
      <c r="I106" s="15">
        <v>439965.20835000003</v>
      </c>
      <c r="J106" s="15">
        <f>SUM(Tasaus[[#This Row],[Laskennallinen kunnallisvero, €]:[Laskennallinen kiinteistövero, €]])</f>
        <v>3946187.1094586393</v>
      </c>
      <c r="K106" s="15">
        <f>Tasaus[[#This Row],[Laskennallinen verotulo yhteensä, €]]/Tasaus[[#This Row],[Asukasluku 31.12.2022]]</f>
        <v>1566.5689199915203</v>
      </c>
      <c r="L106" s="34">
        <f>$K$11-Tasaus[[#This Row],[Laskennallinen verotulo yhteensä, €/asukas (=tasausraja)]]</f>
        <v>577.39108000847978</v>
      </c>
      <c r="M106" s="369">
        <f>IF(Tasaus[[#This Row],[Erotus = tasausraja - laskennallinen verotulo, €/asukas]]&gt;0,(Tasaus[[#This Row],[Erotus = tasausraja - laskennallinen verotulo, €/asukas]]*$B$7),(Tasaus[[#This Row],[Erotus = tasausraja - laskennallinen verotulo, €/asukas]]*$B$8))</f>
        <v>519.6519720076318</v>
      </c>
      <c r="N106" s="370">
        <f>Tasaus[[#This Row],[Tasaus,  €/asukas]]*Tasaus[[#This Row],[Asukasluku 31.12.2022]]</f>
        <v>1309003.3174872245</v>
      </c>
      <c r="P106" s="116"/>
      <c r="Q106" s="117"/>
      <c r="R106" s="118"/>
    </row>
    <row r="107" spans="1:18">
      <c r="A107" s="266">
        <v>276</v>
      </c>
      <c r="B107" s="13" t="s">
        <v>472</v>
      </c>
      <c r="C107" s="267">
        <v>14925</v>
      </c>
      <c r="D107" s="268">
        <v>7.8599999999999994</v>
      </c>
      <c r="E107" s="14">
        <v>23373730.772894882</v>
      </c>
      <c r="F107" s="14">
        <f>Tasaus[[#This Row],[Kunnallisvero (maksuunpantu), €]]*100/Tasaus[[#This Row],[Tuloveroprosentti 2023]]</f>
        <v>297375709.57881534</v>
      </c>
      <c r="G107" s="269">
        <f>Tasaus[[#This Row],[Verotettava tulo (kunnallisvero), €]]*($D$11/100)</f>
        <v>21916589.795958694</v>
      </c>
      <c r="H107" s="14">
        <v>2706288.3403653167</v>
      </c>
      <c r="I107" s="15">
        <v>1753648.9268499999</v>
      </c>
      <c r="J107" s="15">
        <f>SUM(Tasaus[[#This Row],[Laskennallinen kunnallisvero, €]:[Laskennallinen kiinteistövero, €]])</f>
        <v>26376527.063174009</v>
      </c>
      <c r="K107" s="15">
        <f>Tasaus[[#This Row],[Laskennallinen verotulo yhteensä, €]]/Tasaus[[#This Row],[Asukasluku 31.12.2022]]</f>
        <v>1767.2714950200341</v>
      </c>
      <c r="L107" s="34">
        <f>$K$11-Tasaus[[#This Row],[Laskennallinen verotulo yhteensä, €/asukas (=tasausraja)]]</f>
        <v>376.68850497996596</v>
      </c>
      <c r="M107" s="369">
        <f>IF(Tasaus[[#This Row],[Erotus = tasausraja - laskennallinen verotulo, €/asukas]]&gt;0,(Tasaus[[#This Row],[Erotus = tasausraja - laskennallinen verotulo, €/asukas]]*$B$7),(Tasaus[[#This Row],[Erotus = tasausraja - laskennallinen verotulo, €/asukas]]*$B$8))</f>
        <v>339.01965448196938</v>
      </c>
      <c r="N107" s="370">
        <f>Tasaus[[#This Row],[Tasaus,  €/asukas]]*Tasaus[[#This Row],[Asukasluku 31.12.2022]]</f>
        <v>5059868.3431433933</v>
      </c>
      <c r="P107" s="116"/>
      <c r="Q107" s="117"/>
      <c r="R107" s="118"/>
    </row>
    <row r="108" spans="1:18">
      <c r="A108" s="266">
        <v>280</v>
      </c>
      <c r="B108" s="13" t="s">
        <v>473</v>
      </c>
      <c r="C108" s="267">
        <v>2040</v>
      </c>
      <c r="D108" s="268">
        <v>8.8599999999999959</v>
      </c>
      <c r="E108" s="14">
        <v>3030289.3710546796</v>
      </c>
      <c r="F108" s="14">
        <f>Tasaus[[#This Row],[Kunnallisvero (maksuunpantu), €]]*100/Tasaus[[#This Row],[Tuloveroprosentti 2023]]</f>
        <v>34201911.637186021</v>
      </c>
      <c r="G108" s="269">
        <f>Tasaus[[#This Row],[Verotettava tulo (kunnallisvero), €]]*($D$11/100)</f>
        <v>2520680.88766061</v>
      </c>
      <c r="H108" s="14">
        <v>503891.72645627137</v>
      </c>
      <c r="I108" s="15">
        <v>418685.7206</v>
      </c>
      <c r="J108" s="15">
        <f>SUM(Tasaus[[#This Row],[Laskennallinen kunnallisvero, €]:[Laskennallinen kiinteistövero, €]])</f>
        <v>3443258.3347168816</v>
      </c>
      <c r="K108" s="15">
        <f>Tasaus[[#This Row],[Laskennallinen verotulo yhteensä, €]]/Tasaus[[#This Row],[Asukasluku 31.12.2022]]</f>
        <v>1687.8717327043537</v>
      </c>
      <c r="L108" s="34">
        <f>$K$11-Tasaus[[#This Row],[Laskennallinen verotulo yhteensä, €/asukas (=tasausraja)]]</f>
        <v>456.08826729564635</v>
      </c>
      <c r="M108" s="369">
        <f>IF(Tasaus[[#This Row],[Erotus = tasausraja - laskennallinen verotulo, €/asukas]]&gt;0,(Tasaus[[#This Row],[Erotus = tasausraja - laskennallinen verotulo, €/asukas]]*$B$7),(Tasaus[[#This Row],[Erotus = tasausraja - laskennallinen verotulo, €/asukas]]*$B$8))</f>
        <v>410.47944056608173</v>
      </c>
      <c r="N108" s="370">
        <f>Tasaus[[#This Row],[Tasaus,  €/asukas]]*Tasaus[[#This Row],[Asukasluku 31.12.2022]]</f>
        <v>837378.05875480676</v>
      </c>
      <c r="P108" s="116"/>
      <c r="Q108" s="117"/>
      <c r="R108" s="118"/>
    </row>
    <row r="109" spans="1:18">
      <c r="A109" s="266">
        <v>284</v>
      </c>
      <c r="B109" s="13" t="s">
        <v>474</v>
      </c>
      <c r="C109" s="267">
        <v>2239</v>
      </c>
      <c r="D109" s="268">
        <v>7.3599999999999994</v>
      </c>
      <c r="E109" s="14">
        <v>2786225.8834968596</v>
      </c>
      <c r="F109" s="14">
        <f>Tasaus[[#This Row],[Kunnallisvero (maksuunpantu), €]]*100/Tasaus[[#This Row],[Tuloveroprosentti 2023]]</f>
        <v>37856329.938816033</v>
      </c>
      <c r="G109" s="269">
        <f>Tasaus[[#This Row],[Verotettava tulo (kunnallisvero), €]]*($D$11/100)</f>
        <v>2790011.5164907421</v>
      </c>
      <c r="H109" s="14">
        <v>1027275.6060819173</v>
      </c>
      <c r="I109" s="15">
        <v>350817.16905000008</v>
      </c>
      <c r="J109" s="15">
        <f>SUM(Tasaus[[#This Row],[Laskennallinen kunnallisvero, €]:[Laskennallinen kiinteistövero, €]])</f>
        <v>4168104.2916226597</v>
      </c>
      <c r="K109" s="15">
        <f>Tasaus[[#This Row],[Laskennallinen verotulo yhteensä, €]]/Tasaus[[#This Row],[Asukasluku 31.12.2022]]</f>
        <v>1861.5919122923892</v>
      </c>
      <c r="L109" s="34">
        <f>$K$11-Tasaus[[#This Row],[Laskennallinen verotulo yhteensä, €/asukas (=tasausraja)]]</f>
        <v>282.36808770761081</v>
      </c>
      <c r="M109" s="369">
        <f>IF(Tasaus[[#This Row],[Erotus = tasausraja - laskennallinen verotulo, €/asukas]]&gt;0,(Tasaus[[#This Row],[Erotus = tasausraja - laskennallinen verotulo, €/asukas]]*$B$7),(Tasaus[[#This Row],[Erotus = tasausraja - laskennallinen verotulo, €/asukas]]*$B$8))</f>
        <v>254.13127893684972</v>
      </c>
      <c r="N109" s="370">
        <f>Tasaus[[#This Row],[Tasaus,  €/asukas]]*Tasaus[[#This Row],[Asukasluku 31.12.2022]]</f>
        <v>568999.93353960651</v>
      </c>
      <c r="P109" s="116"/>
      <c r="Q109" s="117"/>
      <c r="R109" s="118"/>
    </row>
    <row r="110" spans="1:18">
      <c r="A110" s="266">
        <v>285</v>
      </c>
      <c r="B110" s="13" t="s">
        <v>475</v>
      </c>
      <c r="C110" s="267">
        <v>50735</v>
      </c>
      <c r="D110" s="268">
        <v>8.86</v>
      </c>
      <c r="E110" s="14">
        <v>98679601.153138101</v>
      </c>
      <c r="F110" s="14">
        <f>Tasaus[[#This Row],[Kunnallisvero (maksuunpantu), €]]*100/Tasaus[[#This Row],[Tuloveroprosentti 2023]]</f>
        <v>1113765250.0354187</v>
      </c>
      <c r="G110" s="269">
        <f>Tasaus[[#This Row],[Verotettava tulo (kunnallisvero), €]]*($D$11/100)</f>
        <v>82084498.927610382</v>
      </c>
      <c r="H110" s="14">
        <v>10633838.175021056</v>
      </c>
      <c r="I110" s="15">
        <v>7687484.3798000002</v>
      </c>
      <c r="J110" s="15">
        <f>SUM(Tasaus[[#This Row],[Laskennallinen kunnallisvero, €]:[Laskennallinen kiinteistövero, €]])</f>
        <v>100405821.48243144</v>
      </c>
      <c r="K110" s="15">
        <f>Tasaus[[#This Row],[Laskennallinen verotulo yhteensä, €]]/Tasaus[[#This Row],[Asukasluku 31.12.2022]]</f>
        <v>1979.0247655943913</v>
      </c>
      <c r="L110" s="34">
        <f>$K$11-Tasaus[[#This Row],[Laskennallinen verotulo yhteensä, €/asukas (=tasausraja)]]</f>
        <v>164.93523440560875</v>
      </c>
      <c r="M110" s="369">
        <f>IF(Tasaus[[#This Row],[Erotus = tasausraja - laskennallinen verotulo, €/asukas]]&gt;0,(Tasaus[[#This Row],[Erotus = tasausraja - laskennallinen verotulo, €/asukas]]*$B$7),(Tasaus[[#This Row],[Erotus = tasausraja - laskennallinen verotulo, €/asukas]]*$B$8))</f>
        <v>148.44171096504789</v>
      </c>
      <c r="N110" s="370">
        <f>Tasaus[[#This Row],[Tasaus,  €/asukas]]*Tasaus[[#This Row],[Asukasluku 31.12.2022]]</f>
        <v>7531190.2058117045</v>
      </c>
      <c r="P110" s="116"/>
      <c r="Q110" s="117"/>
      <c r="R110" s="118"/>
    </row>
    <row r="111" spans="1:18">
      <c r="A111" s="266">
        <v>286</v>
      </c>
      <c r="B111" s="13" t="s">
        <v>476</v>
      </c>
      <c r="C111" s="267">
        <v>79526</v>
      </c>
      <c r="D111" s="268">
        <v>8.61</v>
      </c>
      <c r="E111" s="14">
        <v>139379942.67615461</v>
      </c>
      <c r="F111" s="14">
        <f>Tasaus[[#This Row],[Kunnallisvero (maksuunpantu), €]]*100/Tasaus[[#This Row],[Tuloveroprosentti 2023]]</f>
        <v>1618814665.2282767</v>
      </c>
      <c r="G111" s="269">
        <f>Tasaus[[#This Row],[Verotettava tulo (kunnallisvero), €]]*($D$11/100)</f>
        <v>119306640.82732402</v>
      </c>
      <c r="H111" s="14">
        <v>22568809.571075689</v>
      </c>
      <c r="I111" s="15">
        <v>11751356.3225</v>
      </c>
      <c r="J111" s="15">
        <f>SUM(Tasaus[[#This Row],[Laskennallinen kunnallisvero, €]:[Laskennallinen kiinteistövero, €]])</f>
        <v>153626806.7208997</v>
      </c>
      <c r="K111" s="15">
        <f>Tasaus[[#This Row],[Laskennallinen verotulo yhteensä, €]]/Tasaus[[#This Row],[Asukasluku 31.12.2022]]</f>
        <v>1931.7808857593704</v>
      </c>
      <c r="L111" s="34">
        <f>$K$11-Tasaus[[#This Row],[Laskennallinen verotulo yhteensä, €/asukas (=tasausraja)]]</f>
        <v>212.17911424062959</v>
      </c>
      <c r="M111" s="369">
        <f>IF(Tasaus[[#This Row],[Erotus = tasausraja - laskennallinen verotulo, €/asukas]]&gt;0,(Tasaus[[#This Row],[Erotus = tasausraja - laskennallinen verotulo, €/asukas]]*$B$7),(Tasaus[[#This Row],[Erotus = tasausraja - laskennallinen verotulo, €/asukas]]*$B$8))</f>
        <v>190.96120281656664</v>
      </c>
      <c r="N111" s="370">
        <f>Tasaus[[#This Row],[Tasaus,  €/asukas]]*Tasaus[[#This Row],[Asukasluku 31.12.2022]]</f>
        <v>15186380.615190279</v>
      </c>
      <c r="P111" s="116"/>
      <c r="Q111" s="117"/>
      <c r="R111" s="118"/>
    </row>
    <row r="112" spans="1:18">
      <c r="A112" s="266">
        <v>287</v>
      </c>
      <c r="B112" s="13" t="s">
        <v>477</v>
      </c>
      <c r="C112" s="267">
        <v>6253</v>
      </c>
      <c r="D112" s="268">
        <v>8.86</v>
      </c>
      <c r="E112" s="14">
        <v>10093949.17509209</v>
      </c>
      <c r="F112" s="14">
        <f>Tasaus[[#This Row],[Kunnallisvero (maksuunpantu), €]]*100/Tasaus[[#This Row],[Tuloveroprosentti 2023]]</f>
        <v>113927191.59246153</v>
      </c>
      <c r="G112" s="269">
        <f>Tasaus[[#This Row],[Verotettava tulo (kunnallisvero), €]]*($D$11/100)</f>
        <v>8396434.0203644168</v>
      </c>
      <c r="H112" s="14">
        <v>1207183.0861376775</v>
      </c>
      <c r="I112" s="15">
        <v>1233764.7374499999</v>
      </c>
      <c r="J112" s="15">
        <f>SUM(Tasaus[[#This Row],[Laskennallinen kunnallisvero, €]:[Laskennallinen kiinteistövero, €]])</f>
        <v>10837381.843952093</v>
      </c>
      <c r="K112" s="15">
        <f>Tasaus[[#This Row],[Laskennallinen verotulo yhteensä, €]]/Tasaus[[#This Row],[Asukasluku 31.12.2022]]</f>
        <v>1733.1491834242913</v>
      </c>
      <c r="L112" s="34">
        <f>$K$11-Tasaus[[#This Row],[Laskennallinen verotulo yhteensä, €/asukas (=tasausraja)]]</f>
        <v>410.81081657570871</v>
      </c>
      <c r="M112" s="369">
        <f>IF(Tasaus[[#This Row],[Erotus = tasausraja - laskennallinen verotulo, €/asukas]]&gt;0,(Tasaus[[#This Row],[Erotus = tasausraja - laskennallinen verotulo, €/asukas]]*$B$7),(Tasaus[[#This Row],[Erotus = tasausraja - laskennallinen verotulo, €/asukas]]*$B$8))</f>
        <v>369.72973491813786</v>
      </c>
      <c r="N112" s="370">
        <f>Tasaus[[#This Row],[Tasaus,  €/asukas]]*Tasaus[[#This Row],[Asukasluku 31.12.2022]]</f>
        <v>2311920.032443116</v>
      </c>
      <c r="P112" s="116"/>
      <c r="Q112" s="117"/>
      <c r="R112" s="118"/>
    </row>
    <row r="113" spans="1:18">
      <c r="A113" s="266">
        <v>288</v>
      </c>
      <c r="B113" s="13" t="s">
        <v>478</v>
      </c>
      <c r="C113" s="267">
        <v>6320</v>
      </c>
      <c r="D113" s="268">
        <v>9.3599999999999959</v>
      </c>
      <c r="E113" s="14">
        <v>10565004.351855241</v>
      </c>
      <c r="F113" s="14">
        <f>Tasaus[[#This Row],[Kunnallisvero (maksuunpantu), €]]*100/Tasaus[[#This Row],[Tuloveroprosentti 2023]]</f>
        <v>112873978.1181116</v>
      </c>
      <c r="G113" s="269">
        <f>Tasaus[[#This Row],[Verotettava tulo (kunnallisvero), €]]*($D$11/100)</f>
        <v>8318812.1873048265</v>
      </c>
      <c r="H113" s="14">
        <v>1842775.1110294834</v>
      </c>
      <c r="I113" s="15">
        <v>1026644.5527999999</v>
      </c>
      <c r="J113" s="15">
        <f>SUM(Tasaus[[#This Row],[Laskennallinen kunnallisvero, €]:[Laskennallinen kiinteistövero, €]])</f>
        <v>11188231.85113431</v>
      </c>
      <c r="K113" s="15">
        <f>Tasaus[[#This Row],[Laskennallinen verotulo yhteensä, €]]/Tasaus[[#This Row],[Asukasluku 31.12.2022]]</f>
        <v>1770.2898498630236</v>
      </c>
      <c r="L113" s="34">
        <f>$K$11-Tasaus[[#This Row],[Laskennallinen verotulo yhteensä, €/asukas (=tasausraja)]]</f>
        <v>373.67015013697642</v>
      </c>
      <c r="M113" s="369">
        <f>IF(Tasaus[[#This Row],[Erotus = tasausraja - laskennallinen verotulo, €/asukas]]&gt;0,(Tasaus[[#This Row],[Erotus = tasausraja - laskennallinen verotulo, €/asukas]]*$B$7),(Tasaus[[#This Row],[Erotus = tasausraja - laskennallinen verotulo, €/asukas]]*$B$8))</f>
        <v>336.30313512327876</v>
      </c>
      <c r="N113" s="370">
        <f>Tasaus[[#This Row],[Tasaus,  €/asukas]]*Tasaus[[#This Row],[Asukasluku 31.12.2022]]</f>
        <v>2125435.8139791219</v>
      </c>
      <c r="P113" s="116"/>
      <c r="Q113" s="117"/>
      <c r="R113" s="118"/>
    </row>
    <row r="114" spans="1:18">
      <c r="A114" s="266">
        <v>290</v>
      </c>
      <c r="B114" s="13" t="s">
        <v>479</v>
      </c>
      <c r="C114" s="267">
        <v>7752</v>
      </c>
      <c r="D114" s="268">
        <v>9.36</v>
      </c>
      <c r="E114" s="14">
        <v>11471435.550094588</v>
      </c>
      <c r="F114" s="14">
        <f>Tasaus[[#This Row],[Kunnallisvero (maksuunpantu), €]]*100/Tasaus[[#This Row],[Tuloveroprosentti 2023]]</f>
        <v>122558072.11639518</v>
      </c>
      <c r="G114" s="269">
        <f>Tasaus[[#This Row],[Verotettava tulo (kunnallisvero), €]]*($D$11/100)</f>
        <v>9032529.9149783272</v>
      </c>
      <c r="H114" s="14">
        <v>3150522.9464945882</v>
      </c>
      <c r="I114" s="15">
        <v>1213360.6291500002</v>
      </c>
      <c r="J114" s="15">
        <f>SUM(Tasaus[[#This Row],[Laskennallinen kunnallisvero, €]:[Laskennallinen kiinteistövero, €]])</f>
        <v>13396413.490622915</v>
      </c>
      <c r="K114" s="15">
        <f>Tasaus[[#This Row],[Laskennallinen verotulo yhteensä, €]]/Tasaus[[#This Row],[Asukasluku 31.12.2022]]</f>
        <v>1728.1235153022337</v>
      </c>
      <c r="L114" s="34">
        <f>$K$11-Tasaus[[#This Row],[Laskennallinen verotulo yhteensä, €/asukas (=tasausraja)]]</f>
        <v>415.83648469776631</v>
      </c>
      <c r="M114" s="369">
        <f>IF(Tasaus[[#This Row],[Erotus = tasausraja - laskennallinen verotulo, €/asukas]]&gt;0,(Tasaus[[#This Row],[Erotus = tasausraja - laskennallinen verotulo, €/asukas]]*$B$7),(Tasaus[[#This Row],[Erotus = tasausraja - laskennallinen verotulo, €/asukas]]*$B$8))</f>
        <v>374.25283622798969</v>
      </c>
      <c r="N114" s="370">
        <f>Tasaus[[#This Row],[Tasaus,  €/asukas]]*Tasaus[[#This Row],[Asukasluku 31.12.2022]]</f>
        <v>2901207.9864393761</v>
      </c>
      <c r="P114" s="116"/>
      <c r="Q114" s="117"/>
      <c r="R114" s="118"/>
    </row>
    <row r="115" spans="1:18">
      <c r="A115" s="266">
        <v>291</v>
      </c>
      <c r="B115" s="13" t="s">
        <v>480</v>
      </c>
      <c r="C115" s="267">
        <v>2095</v>
      </c>
      <c r="D115" s="268">
        <v>9.11</v>
      </c>
      <c r="E115" s="14">
        <v>3065878.1993662198</v>
      </c>
      <c r="F115" s="14">
        <f>Tasaus[[#This Row],[Kunnallisvero (maksuunpantu), €]]*100/Tasaus[[#This Row],[Tuloveroprosentti 2023]]</f>
        <v>33653986.820704937</v>
      </c>
      <c r="G115" s="269">
        <f>Tasaus[[#This Row],[Verotettava tulo (kunnallisvero), €]]*($D$11/100)</f>
        <v>2480298.8286859542</v>
      </c>
      <c r="H115" s="14">
        <v>792716.36578743078</v>
      </c>
      <c r="I115" s="15">
        <v>825152.17699999991</v>
      </c>
      <c r="J115" s="15">
        <f>SUM(Tasaus[[#This Row],[Laskennallinen kunnallisvero, €]:[Laskennallinen kiinteistövero, €]])</f>
        <v>4098167.371473385</v>
      </c>
      <c r="K115" s="15">
        <f>Tasaus[[#This Row],[Laskennallinen verotulo yhteensä, €]]/Tasaus[[#This Row],[Asukasluku 31.12.2022]]</f>
        <v>1956.1658097724987</v>
      </c>
      <c r="L115" s="34">
        <f>$K$11-Tasaus[[#This Row],[Laskennallinen verotulo yhteensä, €/asukas (=tasausraja)]]</f>
        <v>187.7941902275013</v>
      </c>
      <c r="M115" s="369">
        <f>IF(Tasaus[[#This Row],[Erotus = tasausraja - laskennallinen verotulo, €/asukas]]&gt;0,(Tasaus[[#This Row],[Erotus = tasausraja - laskennallinen verotulo, €/asukas]]*$B$7),(Tasaus[[#This Row],[Erotus = tasausraja - laskennallinen verotulo, €/asukas]]*$B$8))</f>
        <v>169.01477120475118</v>
      </c>
      <c r="N115" s="370">
        <f>Tasaus[[#This Row],[Tasaus,  €/asukas]]*Tasaus[[#This Row],[Asukasluku 31.12.2022]]</f>
        <v>354085.94567395374</v>
      </c>
      <c r="P115" s="116"/>
      <c r="Q115" s="117"/>
      <c r="R115" s="118"/>
    </row>
    <row r="116" spans="1:18">
      <c r="A116" s="266">
        <v>297</v>
      </c>
      <c r="B116" s="13" t="s">
        <v>481</v>
      </c>
      <c r="C116" s="267">
        <v>121632</v>
      </c>
      <c r="D116" s="268">
        <v>8.11</v>
      </c>
      <c r="E116" s="14">
        <v>203328279.82229522</v>
      </c>
      <c r="F116" s="14">
        <f>Tasaus[[#This Row],[Kunnallisvero (maksuunpantu), €]]*100/Tasaus[[#This Row],[Tuloveroprosentti 2023]]</f>
        <v>2507130454.0356998</v>
      </c>
      <c r="G116" s="269">
        <f>Tasaus[[#This Row],[Verotettava tulo (kunnallisvero), €]]*($D$11/100)</f>
        <v>184775514.4624311</v>
      </c>
      <c r="H116" s="14">
        <v>26821418.164345171</v>
      </c>
      <c r="I116" s="15">
        <v>22005040.502550002</v>
      </c>
      <c r="J116" s="15">
        <f>SUM(Tasaus[[#This Row],[Laskennallinen kunnallisvero, €]:[Laskennallinen kiinteistövero, €]])</f>
        <v>233601973.12932628</v>
      </c>
      <c r="K116" s="15">
        <f>Tasaus[[#This Row],[Laskennallinen verotulo yhteensä, €]]/Tasaus[[#This Row],[Asukasluku 31.12.2022]]</f>
        <v>1920.5634465381338</v>
      </c>
      <c r="L116" s="34">
        <f>$K$11-Tasaus[[#This Row],[Laskennallinen verotulo yhteensä, €/asukas (=tasausraja)]]</f>
        <v>223.39655346186623</v>
      </c>
      <c r="M116" s="369">
        <f>IF(Tasaus[[#This Row],[Erotus = tasausraja - laskennallinen verotulo, €/asukas]]&gt;0,(Tasaus[[#This Row],[Erotus = tasausraja - laskennallinen verotulo, €/asukas]]*$B$7),(Tasaus[[#This Row],[Erotus = tasausraja - laskennallinen verotulo, €/asukas]]*$B$8))</f>
        <v>201.05689811567962</v>
      </c>
      <c r="N116" s="370">
        <f>Tasaus[[#This Row],[Tasaus,  €/asukas]]*Tasaus[[#This Row],[Asukasluku 31.12.2022]]</f>
        <v>24454952.631606344</v>
      </c>
      <c r="P116" s="116"/>
      <c r="Q116" s="117"/>
      <c r="R116" s="118"/>
    </row>
    <row r="117" spans="1:18">
      <c r="A117" s="242">
        <v>300</v>
      </c>
      <c r="B117" s="36" t="s">
        <v>482</v>
      </c>
      <c r="C117" s="267">
        <v>3458</v>
      </c>
      <c r="D117" s="268">
        <v>8.3599999999999959</v>
      </c>
      <c r="E117" s="14">
        <v>4683995.6368609602</v>
      </c>
      <c r="F117" s="14">
        <f>Tasaus[[#This Row],[Kunnallisvero (maksuunpantu), €]]*100/Tasaus[[#This Row],[Tuloveroprosentti 2023]]</f>
        <v>56028655.94331295</v>
      </c>
      <c r="G117" s="269">
        <f>Tasaus[[#This Row],[Verotettava tulo (kunnallisvero), €]]*($D$11/100)</f>
        <v>4129311.9430221654</v>
      </c>
      <c r="H117" s="14">
        <v>576904.95703392359</v>
      </c>
      <c r="I117" s="271">
        <v>645143.47674999991</v>
      </c>
      <c r="J117" s="15">
        <f>SUM(Tasaus[[#This Row],[Laskennallinen kunnallisvero, €]:[Laskennallinen kiinteistövero, €]])</f>
        <v>5351360.3768060897</v>
      </c>
      <c r="K117" s="15">
        <f>Tasaus[[#This Row],[Laskennallinen verotulo yhteensä, €]]/Tasaus[[#This Row],[Asukasluku 31.12.2022]]</f>
        <v>1547.5304733389501</v>
      </c>
      <c r="L117" s="34">
        <f>$K$11-Tasaus[[#This Row],[Laskennallinen verotulo yhteensä, €/asukas (=tasausraja)]]</f>
        <v>596.42952666104998</v>
      </c>
      <c r="M117" s="369">
        <f>IF(Tasaus[[#This Row],[Erotus = tasausraja - laskennallinen verotulo, €/asukas]]&gt;0,(Tasaus[[#This Row],[Erotus = tasausraja - laskennallinen verotulo, €/asukas]]*$B$7),(Tasaus[[#This Row],[Erotus = tasausraja - laskennallinen verotulo, €/asukas]]*$B$8))</f>
        <v>536.786573994945</v>
      </c>
      <c r="N117" s="370">
        <f>Tasaus[[#This Row],[Tasaus,  €/asukas]]*Tasaus[[#This Row],[Asukasluku 31.12.2022]]</f>
        <v>1856207.9728745199</v>
      </c>
      <c r="P117" s="116"/>
      <c r="Q117" s="117"/>
      <c r="R117" s="118"/>
    </row>
    <row r="118" spans="1:18">
      <c r="A118" s="266">
        <v>301</v>
      </c>
      <c r="B118" s="13" t="s">
        <v>483</v>
      </c>
      <c r="C118" s="270">
        <v>19959</v>
      </c>
      <c r="D118" s="268">
        <v>8.36</v>
      </c>
      <c r="E118" s="14">
        <v>27727039.352779828</v>
      </c>
      <c r="F118" s="14">
        <f>Tasaus[[#This Row],[Kunnallisvero (maksuunpantu), €]]*100/Tasaus[[#This Row],[Tuloveroprosentti 2023]]</f>
        <v>331663150.15286875</v>
      </c>
      <c r="G118" s="269">
        <f>Tasaus[[#This Row],[Verotettava tulo (kunnallisvero), €]]*($D$11/100)</f>
        <v>24443574.16626643</v>
      </c>
      <c r="H118" s="14">
        <v>3461955.1565542095</v>
      </c>
      <c r="I118" s="271">
        <v>2697856.3437000001</v>
      </c>
      <c r="J118" s="15">
        <f>SUM(Tasaus[[#This Row],[Laskennallinen kunnallisvero, €]:[Laskennallinen kiinteistövero, €]])</f>
        <v>30603385.66652064</v>
      </c>
      <c r="K118" s="15">
        <f>Tasaus[[#This Row],[Laskennallinen verotulo yhteensä, €]]/Tasaus[[#This Row],[Asukasluku 31.12.2022]]</f>
        <v>1533.312574102943</v>
      </c>
      <c r="L118" s="34">
        <f>$K$11-Tasaus[[#This Row],[Laskennallinen verotulo yhteensä, €/asukas (=tasausraja)]]</f>
        <v>610.64742589705702</v>
      </c>
      <c r="M118" s="369">
        <f>IF(Tasaus[[#This Row],[Erotus = tasausraja - laskennallinen verotulo, €/asukas]]&gt;0,(Tasaus[[#This Row],[Erotus = tasausraja - laskennallinen verotulo, €/asukas]]*$B$7),(Tasaus[[#This Row],[Erotus = tasausraja - laskennallinen verotulo, €/asukas]]*$B$8))</f>
        <v>549.58268330735132</v>
      </c>
      <c r="N118" s="370">
        <f>Tasaus[[#This Row],[Tasaus,  €/asukas]]*Tasaus[[#This Row],[Asukasluku 31.12.2022]]</f>
        <v>10969120.776131425</v>
      </c>
      <c r="P118" s="116"/>
      <c r="Q118" s="117"/>
      <c r="R118" s="118"/>
    </row>
    <row r="119" spans="1:18">
      <c r="A119" s="266">
        <v>304</v>
      </c>
      <c r="B119" s="13" t="s">
        <v>484</v>
      </c>
      <c r="C119" s="270">
        <v>997</v>
      </c>
      <c r="D119" s="268">
        <v>5.6099999999999994</v>
      </c>
      <c r="E119" s="14">
        <v>1220046.4568628699</v>
      </c>
      <c r="F119" s="14">
        <f>Tasaus[[#This Row],[Kunnallisvero (maksuunpantu), €]]*100/Tasaus[[#This Row],[Tuloveroprosentti 2023]]</f>
        <v>21747708.678482533</v>
      </c>
      <c r="G119" s="269">
        <f>Tasaus[[#This Row],[Verotettava tulo (kunnallisvero), €]]*($D$11/100)</f>
        <v>1602806.1296041629</v>
      </c>
      <c r="H119" s="14">
        <v>221361.91619895032</v>
      </c>
      <c r="I119" s="15">
        <v>952724.28769999999</v>
      </c>
      <c r="J119" s="15">
        <f>SUM(Tasaus[[#This Row],[Laskennallinen kunnallisvero, €]:[Laskennallinen kiinteistövero, €]])</f>
        <v>2776892.3335031131</v>
      </c>
      <c r="K119" s="15">
        <f>Tasaus[[#This Row],[Laskennallinen verotulo yhteensä, €]]/Tasaus[[#This Row],[Asukasluku 31.12.2022]]</f>
        <v>2785.2480777363221</v>
      </c>
      <c r="L119" s="34">
        <f>$K$11-Tasaus[[#This Row],[Laskennallinen verotulo yhteensä, €/asukas (=tasausraja)]]</f>
        <v>-641.28807773632207</v>
      </c>
      <c r="M119" s="369">
        <f>IF(Tasaus[[#This Row],[Erotus = tasausraja - laskennallinen verotulo, €/asukas]]&gt;0,(Tasaus[[#This Row],[Erotus = tasausraja - laskennallinen verotulo, €/asukas]]*$B$7),(Tasaus[[#This Row],[Erotus = tasausraja - laskennallinen verotulo, €/asukas]]*$B$8))</f>
        <v>-64.128807773632204</v>
      </c>
      <c r="N119" s="370">
        <f>Tasaus[[#This Row],[Tasaus,  €/asukas]]*Tasaus[[#This Row],[Asukasluku 31.12.2022]]</f>
        <v>-63936.421350311306</v>
      </c>
      <c r="P119" s="116"/>
      <c r="Q119" s="117"/>
      <c r="R119" s="118"/>
    </row>
    <row r="120" spans="1:18">
      <c r="A120" s="266">
        <v>305</v>
      </c>
      <c r="B120" s="13" t="s">
        <v>485</v>
      </c>
      <c r="C120" s="267">
        <v>14988</v>
      </c>
      <c r="D120" s="268">
        <v>7.3599999999999994</v>
      </c>
      <c r="E120" s="14">
        <v>18935605.163099941</v>
      </c>
      <c r="F120" s="14">
        <f>Tasaus[[#This Row],[Kunnallisvero (maksuunpantu), €]]*100/Tasaus[[#This Row],[Tuloveroprosentti 2023]]</f>
        <v>257277244.06385788</v>
      </c>
      <c r="G120" s="269">
        <f>Tasaus[[#This Row],[Verotettava tulo (kunnallisvero), €]]*($D$11/100)</f>
        <v>18961332.887506329</v>
      </c>
      <c r="H120" s="14">
        <v>4349217.15142438</v>
      </c>
      <c r="I120" s="15">
        <v>4329624.8734999998</v>
      </c>
      <c r="J120" s="15">
        <f>SUM(Tasaus[[#This Row],[Laskennallinen kunnallisvero, €]:[Laskennallinen kiinteistövero, €]])</f>
        <v>27640174.912430707</v>
      </c>
      <c r="K120" s="15">
        <f>Tasaus[[#This Row],[Laskennallinen verotulo yhteensä, €]]/Tasaus[[#This Row],[Asukasluku 31.12.2022]]</f>
        <v>1844.1536504157132</v>
      </c>
      <c r="L120" s="34">
        <f>$K$11-Tasaus[[#This Row],[Laskennallinen verotulo yhteensä, €/asukas (=tasausraja)]]</f>
        <v>299.80634958428686</v>
      </c>
      <c r="M120" s="369">
        <f>IF(Tasaus[[#This Row],[Erotus = tasausraja - laskennallinen verotulo, €/asukas]]&gt;0,(Tasaus[[#This Row],[Erotus = tasausraja - laskennallinen verotulo, €/asukas]]*$B$7),(Tasaus[[#This Row],[Erotus = tasausraja - laskennallinen verotulo, €/asukas]]*$B$8))</f>
        <v>269.82571462585821</v>
      </c>
      <c r="N120" s="370">
        <f>Tasaus[[#This Row],[Tasaus,  €/asukas]]*Tasaus[[#This Row],[Asukasluku 31.12.2022]]</f>
        <v>4044147.8108123629</v>
      </c>
      <c r="P120" s="116"/>
      <c r="Q120" s="117"/>
      <c r="R120" s="118"/>
    </row>
    <row r="121" spans="1:18">
      <c r="A121" s="266">
        <v>309</v>
      </c>
      <c r="B121" s="13" t="s">
        <v>486</v>
      </c>
      <c r="C121" s="267">
        <v>6342</v>
      </c>
      <c r="D121" s="268">
        <v>8.86</v>
      </c>
      <c r="E121" s="14">
        <v>8869296.0424833074</v>
      </c>
      <c r="F121" s="14">
        <f>Tasaus[[#This Row],[Kunnallisvero (maksuunpantu), €]]*100/Tasaus[[#This Row],[Tuloveroprosentti 2023]]</f>
        <v>100104921.47272356</v>
      </c>
      <c r="G121" s="269">
        <f>Tasaus[[#This Row],[Verotettava tulo (kunnallisvero), €]]*($D$11/100)</f>
        <v>7377732.7125397278</v>
      </c>
      <c r="H121" s="14">
        <v>941009.35638103436</v>
      </c>
      <c r="I121" s="15">
        <v>822762.58244999999</v>
      </c>
      <c r="J121" s="15">
        <f>SUM(Tasaus[[#This Row],[Laskennallinen kunnallisvero, €]:[Laskennallinen kiinteistövero, €]])</f>
        <v>9141504.6513707619</v>
      </c>
      <c r="K121" s="15">
        <f>Tasaus[[#This Row],[Laskennallinen verotulo yhteensä, €]]/Tasaus[[#This Row],[Asukasluku 31.12.2022]]</f>
        <v>1441.4229976932768</v>
      </c>
      <c r="L121" s="34">
        <f>$K$11-Tasaus[[#This Row],[Laskennallinen verotulo yhteensä, €/asukas (=tasausraja)]]</f>
        <v>702.53700230672325</v>
      </c>
      <c r="M121" s="369">
        <f>IF(Tasaus[[#This Row],[Erotus = tasausraja - laskennallinen verotulo, €/asukas]]&gt;0,(Tasaus[[#This Row],[Erotus = tasausraja - laskennallinen verotulo, €/asukas]]*$B$7),(Tasaus[[#This Row],[Erotus = tasausraja - laskennallinen verotulo, €/asukas]]*$B$8))</f>
        <v>632.28330207605097</v>
      </c>
      <c r="N121" s="370">
        <f>Tasaus[[#This Row],[Tasaus,  €/asukas]]*Tasaus[[#This Row],[Asukasluku 31.12.2022]]</f>
        <v>4009940.7017663154</v>
      </c>
      <c r="P121" s="116"/>
      <c r="Q121" s="117"/>
      <c r="R121" s="118"/>
    </row>
    <row r="122" spans="1:18">
      <c r="A122" s="266">
        <v>312</v>
      </c>
      <c r="B122" s="13" t="s">
        <v>487</v>
      </c>
      <c r="C122" s="267">
        <v>1239</v>
      </c>
      <c r="D122" s="268">
        <v>9.86</v>
      </c>
      <c r="E122" s="14">
        <v>1733284.33114249</v>
      </c>
      <c r="F122" s="14">
        <f>Tasaus[[#This Row],[Kunnallisvero (maksuunpantu), €]]*100/Tasaus[[#This Row],[Tuloveroprosentti 2023]]</f>
        <v>17578948.591708824</v>
      </c>
      <c r="G122" s="269">
        <f>Tasaus[[#This Row],[Verotettava tulo (kunnallisvero), €]]*($D$11/100)</f>
        <v>1295568.5112089405</v>
      </c>
      <c r="H122" s="14">
        <v>674222.42805788631</v>
      </c>
      <c r="I122" s="15">
        <v>214984.86905000004</v>
      </c>
      <c r="J122" s="15">
        <f>SUM(Tasaus[[#This Row],[Laskennallinen kunnallisvero, €]:[Laskennallinen kiinteistövero, €]])</f>
        <v>2184775.8083168268</v>
      </c>
      <c r="K122" s="15">
        <f>Tasaus[[#This Row],[Laskennallinen verotulo yhteensä, €]]/Tasaus[[#This Row],[Asukasluku 31.12.2022]]</f>
        <v>1763.3380212403767</v>
      </c>
      <c r="L122" s="34">
        <f>$K$11-Tasaus[[#This Row],[Laskennallinen verotulo yhteensä, €/asukas (=tasausraja)]]</f>
        <v>380.62197875962329</v>
      </c>
      <c r="M122" s="369">
        <f>IF(Tasaus[[#This Row],[Erotus = tasausraja - laskennallinen verotulo, €/asukas]]&gt;0,(Tasaus[[#This Row],[Erotus = tasausraja - laskennallinen verotulo, €/asukas]]*$B$7),(Tasaus[[#This Row],[Erotus = tasausraja - laskennallinen verotulo, €/asukas]]*$B$8))</f>
        <v>342.55978088366095</v>
      </c>
      <c r="N122" s="370">
        <f>Tasaus[[#This Row],[Tasaus,  €/asukas]]*Tasaus[[#This Row],[Asukasluku 31.12.2022]]</f>
        <v>424431.56851485593</v>
      </c>
      <c r="P122" s="116"/>
      <c r="Q122" s="117"/>
      <c r="R122" s="118"/>
    </row>
    <row r="123" spans="1:18">
      <c r="A123" s="266">
        <v>316</v>
      </c>
      <c r="B123" s="13" t="s">
        <v>488</v>
      </c>
      <c r="C123" s="267">
        <v>4218</v>
      </c>
      <c r="D123" s="268">
        <v>9.36</v>
      </c>
      <c r="E123" s="14">
        <v>7381068.79562815</v>
      </c>
      <c r="F123" s="14">
        <f>Tasaus[[#This Row],[Kunnallisvero (maksuunpantu), €]]*100/Tasaus[[#This Row],[Tuloveroprosentti 2023]]</f>
        <v>78857572.602864847</v>
      </c>
      <c r="G123" s="269">
        <f>Tasaus[[#This Row],[Verotettava tulo (kunnallisvero), €]]*($D$11/100)</f>
        <v>5811803.1008311408</v>
      </c>
      <c r="H123" s="14">
        <v>1408287.5035880068</v>
      </c>
      <c r="I123" s="15">
        <v>556910.17500000005</v>
      </c>
      <c r="J123" s="15">
        <f>SUM(Tasaus[[#This Row],[Laskennallinen kunnallisvero, €]:[Laskennallinen kiinteistövero, €]])</f>
        <v>7777000.7794191474</v>
      </c>
      <c r="K123" s="15">
        <f>Tasaus[[#This Row],[Laskennallinen verotulo yhteensä, €]]/Tasaus[[#This Row],[Asukasluku 31.12.2022]]</f>
        <v>1843.7650022330838</v>
      </c>
      <c r="L123" s="34">
        <f>$K$11-Tasaus[[#This Row],[Laskennallinen verotulo yhteensä, €/asukas (=tasausraja)]]</f>
        <v>300.19499776691623</v>
      </c>
      <c r="M123" s="369">
        <f>IF(Tasaus[[#This Row],[Erotus = tasausraja - laskennallinen verotulo, €/asukas]]&gt;0,(Tasaus[[#This Row],[Erotus = tasausraja - laskennallinen verotulo, €/asukas]]*$B$7),(Tasaus[[#This Row],[Erotus = tasausraja - laskennallinen verotulo, €/asukas]]*$B$8))</f>
        <v>270.17549799022464</v>
      </c>
      <c r="N123" s="370">
        <f>Tasaus[[#This Row],[Tasaus,  €/asukas]]*Tasaus[[#This Row],[Asukasluku 31.12.2022]]</f>
        <v>1139600.2505227674</v>
      </c>
      <c r="P123" s="116"/>
      <c r="Q123" s="117"/>
      <c r="R123" s="118"/>
    </row>
    <row r="124" spans="1:18">
      <c r="A124" s="266">
        <v>317</v>
      </c>
      <c r="B124" s="13" t="s">
        <v>489</v>
      </c>
      <c r="C124" s="267">
        <v>2478</v>
      </c>
      <c r="D124" s="268">
        <v>8.86</v>
      </c>
      <c r="E124" s="14">
        <v>3012675.6108497302</v>
      </c>
      <c r="F124" s="14">
        <f>Tasaus[[#This Row],[Kunnallisvero (maksuunpantu), €]]*100/Tasaus[[#This Row],[Tuloveroprosentti 2023]]</f>
        <v>34003110.731938265</v>
      </c>
      <c r="G124" s="269">
        <f>Tasaus[[#This Row],[Verotettava tulo (kunnallisvero), €]]*($D$11/100)</f>
        <v>2506029.2609438505</v>
      </c>
      <c r="H124" s="14">
        <v>718868.63189746742</v>
      </c>
      <c r="I124" s="15">
        <v>332579.14010000002</v>
      </c>
      <c r="J124" s="15">
        <f>SUM(Tasaus[[#This Row],[Laskennallinen kunnallisvero, €]:[Laskennallinen kiinteistövero, €]])</f>
        <v>3557477.0329413177</v>
      </c>
      <c r="K124" s="15">
        <f>Tasaus[[#This Row],[Laskennallinen verotulo yhteensä, €]]/Tasaus[[#This Row],[Asukasluku 31.12.2022]]</f>
        <v>1435.6243070788207</v>
      </c>
      <c r="L124" s="34">
        <f>$K$11-Tasaus[[#This Row],[Laskennallinen verotulo yhteensä, €/asukas (=tasausraja)]]</f>
        <v>708.33569292117932</v>
      </c>
      <c r="M124" s="369">
        <f>IF(Tasaus[[#This Row],[Erotus = tasausraja - laskennallinen verotulo, €/asukas]]&gt;0,(Tasaus[[#This Row],[Erotus = tasausraja - laskennallinen verotulo, €/asukas]]*$B$7),(Tasaus[[#This Row],[Erotus = tasausraja - laskennallinen verotulo, €/asukas]]*$B$8))</f>
        <v>637.50212362906143</v>
      </c>
      <c r="N124" s="370">
        <f>Tasaus[[#This Row],[Tasaus,  €/asukas]]*Tasaus[[#This Row],[Asukasluku 31.12.2022]]</f>
        <v>1579730.2623528142</v>
      </c>
      <c r="P124" s="116"/>
      <c r="Q124" s="117"/>
      <c r="R124" s="118"/>
    </row>
    <row r="125" spans="1:18">
      <c r="A125" s="266">
        <v>320</v>
      </c>
      <c r="B125" s="13" t="s">
        <v>490</v>
      </c>
      <c r="C125" s="267">
        <v>6947</v>
      </c>
      <c r="D125" s="268">
        <v>8.86</v>
      </c>
      <c r="E125" s="14">
        <v>11051505.441413499</v>
      </c>
      <c r="F125" s="14">
        <f>Tasaus[[#This Row],[Kunnallisvero (maksuunpantu), €]]*100/Tasaus[[#This Row],[Tuloveroprosentti 2023]]</f>
        <v>124734824.39518625</v>
      </c>
      <c r="G125" s="269">
        <f>Tasaus[[#This Row],[Verotettava tulo (kunnallisvero), €]]*($D$11/100)</f>
        <v>9192956.557925228</v>
      </c>
      <c r="H125" s="14">
        <v>1274509.7068512158</v>
      </c>
      <c r="I125" s="15">
        <v>1386229.1119499998</v>
      </c>
      <c r="J125" s="15">
        <f>SUM(Tasaus[[#This Row],[Laskennallinen kunnallisvero, €]:[Laskennallinen kiinteistövero, €]])</f>
        <v>11853695.376726445</v>
      </c>
      <c r="K125" s="15">
        <f>Tasaus[[#This Row],[Laskennallinen verotulo yhteensä, €]]/Tasaus[[#This Row],[Asukasluku 31.12.2022]]</f>
        <v>1706.3042142977465</v>
      </c>
      <c r="L125" s="34">
        <f>$K$11-Tasaus[[#This Row],[Laskennallinen verotulo yhteensä, €/asukas (=tasausraja)]]</f>
        <v>437.65578570225352</v>
      </c>
      <c r="M125" s="369">
        <f>IF(Tasaus[[#This Row],[Erotus = tasausraja - laskennallinen verotulo, €/asukas]]&gt;0,(Tasaus[[#This Row],[Erotus = tasausraja - laskennallinen verotulo, €/asukas]]*$B$7),(Tasaus[[#This Row],[Erotus = tasausraja - laskennallinen verotulo, €/asukas]]*$B$8))</f>
        <v>393.89020713202819</v>
      </c>
      <c r="N125" s="370">
        <f>Tasaus[[#This Row],[Tasaus,  €/asukas]]*Tasaus[[#This Row],[Asukasluku 31.12.2022]]</f>
        <v>2736355.2689461997</v>
      </c>
      <c r="P125" s="116"/>
      <c r="Q125" s="117"/>
      <c r="R125" s="118"/>
    </row>
    <row r="126" spans="1:18">
      <c r="A126" s="266">
        <v>322</v>
      </c>
      <c r="B126" s="13" t="s">
        <v>126</v>
      </c>
      <c r="C126" s="267">
        <v>6475</v>
      </c>
      <c r="D126" s="268">
        <v>7.1099999999999959</v>
      </c>
      <c r="E126" s="14">
        <v>8257059.8031543288</v>
      </c>
      <c r="F126" s="14">
        <f>Tasaus[[#This Row],[Kunnallisvero (maksuunpantu), €]]*100/Tasaus[[#This Row],[Tuloveroprosentti 2023]]</f>
        <v>116133049.27080639</v>
      </c>
      <c r="G126" s="269">
        <f>Tasaus[[#This Row],[Verotettava tulo (kunnallisvero), €]]*($D$11/100)</f>
        <v>8559005.7312584333</v>
      </c>
      <c r="H126" s="14">
        <v>960670.06999846455</v>
      </c>
      <c r="I126" s="15">
        <v>2050223.4771500002</v>
      </c>
      <c r="J126" s="15">
        <f>SUM(Tasaus[[#This Row],[Laskennallinen kunnallisvero, €]:[Laskennallinen kiinteistövero, €]])</f>
        <v>11569899.278406899</v>
      </c>
      <c r="K126" s="15">
        <f>Tasaus[[#This Row],[Laskennallinen verotulo yhteensä, €]]/Tasaus[[#This Row],[Asukasluku 31.12.2022]]</f>
        <v>1786.857031414193</v>
      </c>
      <c r="L126" s="34">
        <f>$K$11-Tasaus[[#This Row],[Laskennallinen verotulo yhteensä, €/asukas (=tasausraja)]]</f>
        <v>357.10296858580705</v>
      </c>
      <c r="M126" s="369">
        <f>IF(Tasaus[[#This Row],[Erotus = tasausraja - laskennallinen verotulo, €/asukas]]&gt;0,(Tasaus[[#This Row],[Erotus = tasausraja - laskennallinen verotulo, €/asukas]]*$B$7),(Tasaus[[#This Row],[Erotus = tasausraja - laskennallinen verotulo, €/asukas]]*$B$8))</f>
        <v>321.39267172722634</v>
      </c>
      <c r="N126" s="370">
        <f>Tasaus[[#This Row],[Tasaus,  €/asukas]]*Tasaus[[#This Row],[Asukasluku 31.12.2022]]</f>
        <v>2081017.5494337906</v>
      </c>
      <c r="P126" s="116"/>
      <c r="Q126" s="117"/>
      <c r="R126" s="118"/>
    </row>
    <row r="127" spans="1:18">
      <c r="A127" s="266">
        <v>398</v>
      </c>
      <c r="B127" s="13" t="s">
        <v>491</v>
      </c>
      <c r="C127" s="267">
        <v>120489</v>
      </c>
      <c r="D127" s="268">
        <v>8.11</v>
      </c>
      <c r="E127" s="14">
        <v>198666052.98650807</v>
      </c>
      <c r="F127" s="14">
        <f>Tasaus[[#This Row],[Kunnallisvero (maksuunpantu), €]]*100/Tasaus[[#This Row],[Tuloveroprosentti 2023]]</f>
        <v>2449643070.117239</v>
      </c>
      <c r="G127" s="269">
        <f>Tasaus[[#This Row],[Verotettava tulo (kunnallisvero), €]]*($D$11/100)</f>
        <v>180538694.26764056</v>
      </c>
      <c r="H127" s="14">
        <v>29279985.717921034</v>
      </c>
      <c r="I127" s="15">
        <v>20040258.567000002</v>
      </c>
      <c r="J127" s="15">
        <f>SUM(Tasaus[[#This Row],[Laskennallinen kunnallisvero, €]:[Laskennallinen kiinteistövero, €]])</f>
        <v>229858938.55256161</v>
      </c>
      <c r="K127" s="15">
        <f>Tasaus[[#This Row],[Laskennallinen verotulo yhteensä, €]]/Tasaus[[#This Row],[Asukasluku 31.12.2022]]</f>
        <v>1907.7172069862113</v>
      </c>
      <c r="L127" s="34">
        <f>$K$11-Tasaus[[#This Row],[Laskennallinen verotulo yhteensä, €/asukas (=tasausraja)]]</f>
        <v>236.24279301378874</v>
      </c>
      <c r="M127" s="369">
        <f>IF(Tasaus[[#This Row],[Erotus = tasausraja - laskennallinen verotulo, €/asukas]]&gt;0,(Tasaus[[#This Row],[Erotus = tasausraja - laskennallinen verotulo, €/asukas]]*$B$7),(Tasaus[[#This Row],[Erotus = tasausraja - laskennallinen verotulo, €/asukas]]*$B$8))</f>
        <v>212.61851371240988</v>
      </c>
      <c r="N127" s="370">
        <f>Tasaus[[#This Row],[Tasaus,  €/asukas]]*Tasaus[[#This Row],[Asukasluku 31.12.2022]]</f>
        <v>25618192.098694555</v>
      </c>
      <c r="P127" s="116"/>
      <c r="Q127" s="117"/>
      <c r="R127" s="118"/>
    </row>
    <row r="128" spans="1:18">
      <c r="A128" s="266">
        <v>399</v>
      </c>
      <c r="B128" s="13" t="s">
        <v>492</v>
      </c>
      <c r="C128" s="267">
        <v>7947</v>
      </c>
      <c r="D128" s="268">
        <v>9.11</v>
      </c>
      <c r="E128" s="14">
        <v>14593587.455141239</v>
      </c>
      <c r="F128" s="14">
        <f>Tasaus[[#This Row],[Kunnallisvero (maksuunpantu), €]]*100/Tasaus[[#This Row],[Tuloveroprosentti 2023]]</f>
        <v>160193056.58771944</v>
      </c>
      <c r="G128" s="269">
        <f>Tasaus[[#This Row],[Verotettava tulo (kunnallisvero), €]]*($D$11/100)</f>
        <v>11806228.270514926</v>
      </c>
      <c r="H128" s="14">
        <v>1000371.2192930045</v>
      </c>
      <c r="I128" s="15">
        <v>779865.53435000009</v>
      </c>
      <c r="J128" s="15">
        <f>SUM(Tasaus[[#This Row],[Laskennallinen kunnallisvero, €]:[Laskennallinen kiinteistövero, €]])</f>
        <v>13586465.02415793</v>
      </c>
      <c r="K128" s="15">
        <f>Tasaus[[#This Row],[Laskennallinen verotulo yhteensä, €]]/Tasaus[[#This Row],[Asukasluku 31.12.2022]]</f>
        <v>1709.6344562926802</v>
      </c>
      <c r="L128" s="34">
        <f>$K$11-Tasaus[[#This Row],[Laskennallinen verotulo yhteensä, €/asukas (=tasausraja)]]</f>
        <v>434.32554370731987</v>
      </c>
      <c r="M128" s="369">
        <f>IF(Tasaus[[#This Row],[Erotus = tasausraja - laskennallinen verotulo, €/asukas]]&gt;0,(Tasaus[[#This Row],[Erotus = tasausraja - laskennallinen verotulo, €/asukas]]*$B$7),(Tasaus[[#This Row],[Erotus = tasausraja - laskennallinen verotulo, €/asukas]]*$B$8))</f>
        <v>390.8929893365879</v>
      </c>
      <c r="N128" s="370">
        <f>Tasaus[[#This Row],[Tasaus,  €/asukas]]*Tasaus[[#This Row],[Asukasluku 31.12.2022]]</f>
        <v>3106426.5862578643</v>
      </c>
      <c r="P128" s="116"/>
      <c r="Q128" s="117"/>
      <c r="R128" s="118"/>
    </row>
    <row r="129" spans="1:18">
      <c r="A129" s="266">
        <v>400</v>
      </c>
      <c r="B129" s="13" t="s">
        <v>493</v>
      </c>
      <c r="C129" s="267">
        <v>8431</v>
      </c>
      <c r="D129" s="268">
        <v>8.11</v>
      </c>
      <c r="E129" s="14">
        <v>12634846.993375389</v>
      </c>
      <c r="F129" s="14">
        <f>Tasaus[[#This Row],[Kunnallisvero (maksuunpantu), €]]*100/Tasaus[[#This Row],[Tuloveroprosentti 2023]]</f>
        <v>155793427.78514662</v>
      </c>
      <c r="G129" s="269">
        <f>Tasaus[[#This Row],[Verotettava tulo (kunnallisvero), €]]*($D$11/100)</f>
        <v>11481975.627765309</v>
      </c>
      <c r="H129" s="14">
        <v>2111697.0768877976</v>
      </c>
      <c r="I129" s="15">
        <v>1388324.5455499999</v>
      </c>
      <c r="J129" s="15">
        <f>SUM(Tasaus[[#This Row],[Laskennallinen kunnallisvero, €]:[Laskennallinen kiinteistövero, €]])</f>
        <v>14981997.250203107</v>
      </c>
      <c r="K129" s="15">
        <f>Tasaus[[#This Row],[Laskennallinen verotulo yhteensä, €]]/Tasaus[[#This Row],[Asukasluku 31.12.2022]]</f>
        <v>1777.0130767646906</v>
      </c>
      <c r="L129" s="34">
        <f>$K$11-Tasaus[[#This Row],[Laskennallinen verotulo yhteensä, €/asukas (=tasausraja)]]</f>
        <v>366.94692323530944</v>
      </c>
      <c r="M129" s="369">
        <f>IF(Tasaus[[#This Row],[Erotus = tasausraja - laskennallinen verotulo, €/asukas]]&gt;0,(Tasaus[[#This Row],[Erotus = tasausraja - laskennallinen verotulo, €/asukas]]*$B$7),(Tasaus[[#This Row],[Erotus = tasausraja - laskennallinen verotulo, €/asukas]]*$B$8))</f>
        <v>330.2522309117785</v>
      </c>
      <c r="N129" s="370">
        <f>Tasaus[[#This Row],[Tasaus,  €/asukas]]*Tasaus[[#This Row],[Asukasluku 31.12.2022]]</f>
        <v>2784356.5588172046</v>
      </c>
      <c r="P129" s="116"/>
      <c r="Q129" s="117"/>
      <c r="R129" s="118"/>
    </row>
    <row r="130" spans="1:18">
      <c r="A130" s="266">
        <v>402</v>
      </c>
      <c r="B130" s="13" t="s">
        <v>494</v>
      </c>
      <c r="C130" s="267">
        <v>9140</v>
      </c>
      <c r="D130" s="268">
        <v>8.61</v>
      </c>
      <c r="E130" s="14">
        <v>12854251.21664628</v>
      </c>
      <c r="F130" s="14">
        <f>Tasaus[[#This Row],[Kunnallisvero (maksuunpantu), €]]*100/Tasaus[[#This Row],[Tuloveroprosentti 2023]]</f>
        <v>149294439.21772686</v>
      </c>
      <c r="G130" s="269">
        <f>Tasaus[[#This Row],[Verotettava tulo (kunnallisvero), €]]*($D$11/100)</f>
        <v>11003000.170346472</v>
      </c>
      <c r="H130" s="14">
        <v>1525091.5951626988</v>
      </c>
      <c r="I130" s="15">
        <v>1285893.5620499998</v>
      </c>
      <c r="J130" s="15">
        <f>SUM(Tasaus[[#This Row],[Laskennallinen kunnallisvero, €]:[Laskennallinen kiinteistövero, €]])</f>
        <v>13813985.327559171</v>
      </c>
      <c r="K130" s="15">
        <f>Tasaus[[#This Row],[Laskennallinen verotulo yhteensä, €]]/Tasaus[[#This Row],[Asukasluku 31.12.2022]]</f>
        <v>1511.3769504988152</v>
      </c>
      <c r="L130" s="34">
        <f>$K$11-Tasaus[[#This Row],[Laskennallinen verotulo yhteensä, €/asukas (=tasausraja)]]</f>
        <v>632.58304950118486</v>
      </c>
      <c r="M130" s="369">
        <f>IF(Tasaus[[#This Row],[Erotus = tasausraja - laskennallinen verotulo, €/asukas]]&gt;0,(Tasaus[[#This Row],[Erotus = tasausraja - laskennallinen verotulo, €/asukas]]*$B$7),(Tasaus[[#This Row],[Erotus = tasausraja - laskennallinen verotulo, €/asukas]]*$B$8))</f>
        <v>569.32474455106637</v>
      </c>
      <c r="N130" s="370">
        <f>Tasaus[[#This Row],[Tasaus,  €/asukas]]*Tasaus[[#This Row],[Asukasluku 31.12.2022]]</f>
        <v>5203628.1651967466</v>
      </c>
      <c r="P130" s="116"/>
      <c r="Q130" s="117"/>
      <c r="R130" s="118"/>
    </row>
    <row r="131" spans="1:18">
      <c r="A131" s="266">
        <v>403</v>
      </c>
      <c r="B131" s="13" t="s">
        <v>495</v>
      </c>
      <c r="C131" s="267">
        <v>2813</v>
      </c>
      <c r="D131" s="268">
        <v>9.36</v>
      </c>
      <c r="E131" s="14">
        <v>3910164.43852349</v>
      </c>
      <c r="F131" s="14">
        <f>Tasaus[[#This Row],[Kunnallisvero (maksuunpantu), €]]*100/Tasaus[[#This Row],[Tuloveroprosentti 2023]]</f>
        <v>41775261.09533643</v>
      </c>
      <c r="G131" s="269">
        <f>Tasaus[[#This Row],[Verotettava tulo (kunnallisvero), €]]*($D$11/100)</f>
        <v>3078836.7427262957</v>
      </c>
      <c r="H131" s="14">
        <v>504678.4648276128</v>
      </c>
      <c r="I131" s="15">
        <v>577682.22900000005</v>
      </c>
      <c r="J131" s="15">
        <f>SUM(Tasaus[[#This Row],[Laskennallinen kunnallisvero, €]:[Laskennallinen kiinteistövero, €]])</f>
        <v>4161197.4365539085</v>
      </c>
      <c r="K131" s="15">
        <f>Tasaus[[#This Row],[Laskennallinen verotulo yhteensä, €]]/Tasaus[[#This Row],[Asukasluku 31.12.2022]]</f>
        <v>1479.2738843064019</v>
      </c>
      <c r="L131" s="34">
        <f>$K$11-Tasaus[[#This Row],[Laskennallinen verotulo yhteensä, €/asukas (=tasausraja)]]</f>
        <v>664.68611569359814</v>
      </c>
      <c r="M131" s="369">
        <f>IF(Tasaus[[#This Row],[Erotus = tasausraja - laskennallinen verotulo, €/asukas]]&gt;0,(Tasaus[[#This Row],[Erotus = tasausraja - laskennallinen verotulo, €/asukas]]*$B$7),(Tasaus[[#This Row],[Erotus = tasausraja - laskennallinen verotulo, €/asukas]]*$B$8))</f>
        <v>598.2175041242383</v>
      </c>
      <c r="N131" s="370">
        <f>Tasaus[[#This Row],[Tasaus,  €/asukas]]*Tasaus[[#This Row],[Asukasluku 31.12.2022]]</f>
        <v>1682785.8391014824</v>
      </c>
      <c r="P131" s="116"/>
      <c r="Q131" s="117"/>
      <c r="R131" s="118"/>
    </row>
    <row r="132" spans="1:18">
      <c r="A132" s="266">
        <v>405</v>
      </c>
      <c r="B132" s="13" t="s">
        <v>496</v>
      </c>
      <c r="C132" s="267">
        <v>72652</v>
      </c>
      <c r="D132" s="268">
        <v>8.36</v>
      </c>
      <c r="E132" s="14">
        <v>121623827.15795845</v>
      </c>
      <c r="F132" s="14">
        <f>Tasaus[[#This Row],[Kunnallisvero (maksuunpantu), €]]*100/Tasaus[[#This Row],[Tuloveroprosentti 2023]]</f>
        <v>1454830468.3966322</v>
      </c>
      <c r="G132" s="269">
        <f>Tasaus[[#This Row],[Verotettava tulo (kunnallisvero), €]]*($D$11/100)</f>
        <v>107221005.52083181</v>
      </c>
      <c r="H132" s="14">
        <v>23394771.257881247</v>
      </c>
      <c r="I132" s="15">
        <v>11971905.491350001</v>
      </c>
      <c r="J132" s="15">
        <f>SUM(Tasaus[[#This Row],[Laskennallinen kunnallisvero, €]:[Laskennallinen kiinteistövero, €]])</f>
        <v>142587682.27006304</v>
      </c>
      <c r="K132" s="15">
        <f>Tasaus[[#This Row],[Laskennallinen verotulo yhteensä, €]]/Tasaus[[#This Row],[Asukasluku 31.12.2022]]</f>
        <v>1962.6119345656423</v>
      </c>
      <c r="L132" s="34">
        <f>$K$11-Tasaus[[#This Row],[Laskennallinen verotulo yhteensä, €/asukas (=tasausraja)]]</f>
        <v>181.34806543435775</v>
      </c>
      <c r="M132" s="369">
        <f>IF(Tasaus[[#This Row],[Erotus = tasausraja - laskennallinen verotulo, €/asukas]]&gt;0,(Tasaus[[#This Row],[Erotus = tasausraja - laskennallinen verotulo, €/asukas]]*$B$7),(Tasaus[[#This Row],[Erotus = tasausraja - laskennallinen verotulo, €/asukas]]*$B$8))</f>
        <v>163.21325889092199</v>
      </c>
      <c r="N132" s="370">
        <f>Tasaus[[#This Row],[Tasaus,  €/asukas]]*Tasaus[[#This Row],[Asukasluku 31.12.2022]]</f>
        <v>11857769.684943264</v>
      </c>
      <c r="P132" s="116"/>
      <c r="Q132" s="117"/>
      <c r="R132" s="118"/>
    </row>
    <row r="133" spans="1:18">
      <c r="A133" s="266">
        <v>407</v>
      </c>
      <c r="B133" s="13" t="s">
        <v>497</v>
      </c>
      <c r="C133" s="267">
        <v>2568</v>
      </c>
      <c r="D133" s="268">
        <v>8.86</v>
      </c>
      <c r="E133" s="14">
        <v>3814959.8064413499</v>
      </c>
      <c r="F133" s="14">
        <f>Tasaus[[#This Row],[Kunnallisvero (maksuunpantu), €]]*100/Tasaus[[#This Row],[Tuloveroprosentti 2023]]</f>
        <v>43058237.093017496</v>
      </c>
      <c r="G133" s="269">
        <f>Tasaus[[#This Row],[Verotettava tulo (kunnallisvero), €]]*($D$11/100)</f>
        <v>3173392.07375539</v>
      </c>
      <c r="H133" s="14">
        <v>445583.08971371781</v>
      </c>
      <c r="I133" s="15">
        <v>370133.63700000005</v>
      </c>
      <c r="J133" s="15">
        <f>SUM(Tasaus[[#This Row],[Laskennallinen kunnallisvero, €]:[Laskennallinen kiinteistövero, €]])</f>
        <v>3989108.8004691079</v>
      </c>
      <c r="K133" s="15">
        <f>Tasaus[[#This Row],[Laskennallinen verotulo yhteensä, €]]/Tasaus[[#This Row],[Asukasluku 31.12.2022]]</f>
        <v>1553.3912774412413</v>
      </c>
      <c r="L133" s="34">
        <f>$K$11-Tasaus[[#This Row],[Laskennallinen verotulo yhteensä, €/asukas (=tasausraja)]]</f>
        <v>590.56872255875874</v>
      </c>
      <c r="M133" s="369">
        <f>IF(Tasaus[[#This Row],[Erotus = tasausraja - laskennallinen verotulo, €/asukas]]&gt;0,(Tasaus[[#This Row],[Erotus = tasausraja - laskennallinen verotulo, €/asukas]]*$B$7),(Tasaus[[#This Row],[Erotus = tasausraja - laskennallinen verotulo, €/asukas]]*$B$8))</f>
        <v>531.51185030288286</v>
      </c>
      <c r="N133" s="370">
        <f>Tasaus[[#This Row],[Tasaus,  €/asukas]]*Tasaus[[#This Row],[Asukasluku 31.12.2022]]</f>
        <v>1364922.4315778031</v>
      </c>
      <c r="P133" s="116"/>
      <c r="Q133" s="117"/>
      <c r="R133" s="118"/>
    </row>
    <row r="134" spans="1:18">
      <c r="A134" s="266">
        <v>408</v>
      </c>
      <c r="B134" s="13" t="s">
        <v>498</v>
      </c>
      <c r="C134" s="267">
        <v>14057</v>
      </c>
      <c r="D134" s="268">
        <v>8.86</v>
      </c>
      <c r="E134" s="14">
        <v>22752190.855098668</v>
      </c>
      <c r="F134" s="14">
        <f>Tasaus[[#This Row],[Kunnallisvero (maksuunpantu), €]]*100/Tasaus[[#This Row],[Tuloveroprosentti 2023]]</f>
        <v>256796736.513529</v>
      </c>
      <c r="G134" s="269">
        <f>Tasaus[[#This Row],[Verotettava tulo (kunnallisvero), €]]*($D$11/100)</f>
        <v>18925919.48104709</v>
      </c>
      <c r="H134" s="14">
        <v>2717531.7279760046</v>
      </c>
      <c r="I134" s="15">
        <v>1789962.4924500003</v>
      </c>
      <c r="J134" s="15">
        <f>SUM(Tasaus[[#This Row],[Laskennallinen kunnallisvero, €]:[Laskennallinen kiinteistövero, €]])</f>
        <v>23433413.701473095</v>
      </c>
      <c r="K134" s="15">
        <f>Tasaus[[#This Row],[Laskennallinen verotulo yhteensä, €]]/Tasaus[[#This Row],[Asukasluku 31.12.2022]]</f>
        <v>1667.0280786421779</v>
      </c>
      <c r="L134" s="34">
        <f>$K$11-Tasaus[[#This Row],[Laskennallinen verotulo yhteensä, €/asukas (=tasausraja)]]</f>
        <v>476.93192135782215</v>
      </c>
      <c r="M134" s="369">
        <f>IF(Tasaus[[#This Row],[Erotus = tasausraja - laskennallinen verotulo, €/asukas]]&gt;0,(Tasaus[[#This Row],[Erotus = tasausraja - laskennallinen verotulo, €/asukas]]*$B$7),(Tasaus[[#This Row],[Erotus = tasausraja - laskennallinen verotulo, €/asukas]]*$B$8))</f>
        <v>429.23872922203992</v>
      </c>
      <c r="N134" s="370">
        <f>Tasaus[[#This Row],[Tasaus,  €/asukas]]*Tasaus[[#This Row],[Asukasluku 31.12.2022]]</f>
        <v>6033808.8166742148</v>
      </c>
      <c r="P134" s="116"/>
      <c r="Q134" s="117"/>
      <c r="R134" s="118"/>
    </row>
    <row r="135" spans="1:18">
      <c r="A135" s="266">
        <v>410</v>
      </c>
      <c r="B135" s="13" t="s">
        <v>499</v>
      </c>
      <c r="C135" s="267">
        <v>18797</v>
      </c>
      <c r="D135" s="268">
        <v>8.86</v>
      </c>
      <c r="E135" s="14">
        <v>31429993.709712777</v>
      </c>
      <c r="F135" s="14">
        <f>Tasaus[[#This Row],[Kunnallisvero (maksuunpantu), €]]*100/Tasaus[[#This Row],[Tuloveroprosentti 2023]]</f>
        <v>354740335.324072</v>
      </c>
      <c r="G135" s="269">
        <f>Tasaus[[#This Row],[Verotettava tulo (kunnallisvero), €]]*($D$11/100)</f>
        <v>26144362.71338411</v>
      </c>
      <c r="H135" s="14">
        <v>2453031.062097657</v>
      </c>
      <c r="I135" s="15">
        <v>2609548.5797999999</v>
      </c>
      <c r="J135" s="15">
        <f>SUM(Tasaus[[#This Row],[Laskennallinen kunnallisvero, €]:[Laskennallinen kiinteistövero, €]])</f>
        <v>31206942.355281767</v>
      </c>
      <c r="K135" s="15">
        <f>Tasaus[[#This Row],[Laskennallinen verotulo yhteensä, €]]/Tasaus[[#This Row],[Asukasluku 31.12.2022]]</f>
        <v>1660.2086692175224</v>
      </c>
      <c r="L135" s="34">
        <f>$K$11-Tasaus[[#This Row],[Laskennallinen verotulo yhteensä, €/asukas (=tasausraja)]]</f>
        <v>483.75133078247768</v>
      </c>
      <c r="M135" s="369">
        <f>IF(Tasaus[[#This Row],[Erotus = tasausraja - laskennallinen verotulo, €/asukas]]&gt;0,(Tasaus[[#This Row],[Erotus = tasausraja - laskennallinen verotulo, €/asukas]]*$B$7),(Tasaus[[#This Row],[Erotus = tasausraja - laskennallinen verotulo, €/asukas]]*$B$8))</f>
        <v>435.37619770422992</v>
      </c>
      <c r="N135" s="370">
        <f>Tasaus[[#This Row],[Tasaus,  €/asukas]]*Tasaus[[#This Row],[Asukasluku 31.12.2022]]</f>
        <v>8183766.3882464096</v>
      </c>
      <c r="P135" s="116"/>
      <c r="Q135" s="117"/>
      <c r="R135" s="118"/>
    </row>
    <row r="136" spans="1:18">
      <c r="A136" s="266">
        <v>416</v>
      </c>
      <c r="B136" s="13" t="s">
        <v>500</v>
      </c>
      <c r="C136" s="267">
        <v>2922</v>
      </c>
      <c r="D136" s="268">
        <v>9.3599999999999959</v>
      </c>
      <c r="E136" s="14">
        <v>4891928.3342547799</v>
      </c>
      <c r="F136" s="14">
        <f>Tasaus[[#This Row],[Kunnallisvero (maksuunpantu), €]]*100/Tasaus[[#This Row],[Tuloveroprosentti 2023]]</f>
        <v>52264191.605286129</v>
      </c>
      <c r="G136" s="269">
        <f>Tasaus[[#This Row],[Verotettava tulo (kunnallisvero), €]]*($D$11/100)</f>
        <v>3851870.9213095885</v>
      </c>
      <c r="H136" s="14">
        <v>309902.62542485731</v>
      </c>
      <c r="I136" s="15">
        <v>458397.82420000003</v>
      </c>
      <c r="J136" s="15">
        <f>SUM(Tasaus[[#This Row],[Laskennallinen kunnallisvero, €]:[Laskennallinen kiinteistövero, €]])</f>
        <v>4620171.3709344454</v>
      </c>
      <c r="K136" s="15">
        <f>Tasaus[[#This Row],[Laskennallinen verotulo yhteensä, €]]/Tasaus[[#This Row],[Asukasluku 31.12.2022]]</f>
        <v>1581.1674780747589</v>
      </c>
      <c r="L136" s="34">
        <f>$K$11-Tasaus[[#This Row],[Laskennallinen verotulo yhteensä, €/asukas (=tasausraja)]]</f>
        <v>562.79252192524109</v>
      </c>
      <c r="M136" s="369">
        <f>IF(Tasaus[[#This Row],[Erotus = tasausraja - laskennallinen verotulo, €/asukas]]&gt;0,(Tasaus[[#This Row],[Erotus = tasausraja - laskennallinen verotulo, €/asukas]]*$B$7),(Tasaus[[#This Row],[Erotus = tasausraja - laskennallinen verotulo, €/asukas]]*$B$8))</f>
        <v>506.51326973271699</v>
      </c>
      <c r="N136" s="370">
        <f>Tasaus[[#This Row],[Tasaus,  €/asukas]]*Tasaus[[#This Row],[Asukasluku 31.12.2022]]</f>
        <v>1480031.7741589991</v>
      </c>
      <c r="P136" s="116"/>
      <c r="Q136" s="117"/>
      <c r="R136" s="118"/>
    </row>
    <row r="137" spans="1:18">
      <c r="A137" s="266">
        <v>418</v>
      </c>
      <c r="B137" s="13" t="s">
        <v>501</v>
      </c>
      <c r="C137" s="267">
        <v>24287</v>
      </c>
      <c r="D137" s="268">
        <v>7.8599999999999994</v>
      </c>
      <c r="E137" s="14">
        <v>44211531.711153999</v>
      </c>
      <c r="F137" s="14">
        <f>Tasaus[[#This Row],[Kunnallisvero (maksuunpantu), €]]*100/Tasaus[[#This Row],[Tuloveroprosentti 2023]]</f>
        <v>562487680.80348611</v>
      </c>
      <c r="G137" s="269">
        <f>Tasaus[[#This Row],[Verotettava tulo (kunnallisvero), €]]*($D$11/100)</f>
        <v>41455342.075216934</v>
      </c>
      <c r="H137" s="14">
        <v>4903428.5977202198</v>
      </c>
      <c r="I137" s="15">
        <v>4035933.1536499998</v>
      </c>
      <c r="J137" s="15">
        <f>SUM(Tasaus[[#This Row],[Laskennallinen kunnallisvero, €]:[Laskennallinen kiinteistövero, €]])</f>
        <v>50394703.826587155</v>
      </c>
      <c r="K137" s="15">
        <f>Tasaus[[#This Row],[Laskennallinen verotulo yhteensä, €]]/Tasaus[[#This Row],[Asukasluku 31.12.2022]]</f>
        <v>2074.9661887671245</v>
      </c>
      <c r="L137" s="34">
        <f>$K$11-Tasaus[[#This Row],[Laskennallinen verotulo yhteensä, €/asukas (=tasausraja)]]</f>
        <v>68.993811232875487</v>
      </c>
      <c r="M137" s="369">
        <f>IF(Tasaus[[#This Row],[Erotus = tasausraja - laskennallinen verotulo, €/asukas]]&gt;0,(Tasaus[[#This Row],[Erotus = tasausraja - laskennallinen verotulo, €/asukas]]*$B$7),(Tasaus[[#This Row],[Erotus = tasausraja - laskennallinen verotulo, €/asukas]]*$B$8))</f>
        <v>62.09443010958794</v>
      </c>
      <c r="N137" s="370">
        <f>Tasaus[[#This Row],[Tasaus,  €/asukas]]*Tasaus[[#This Row],[Asukasluku 31.12.2022]]</f>
        <v>1508087.4240715622</v>
      </c>
      <c r="P137" s="116"/>
      <c r="Q137" s="117"/>
      <c r="R137" s="118"/>
    </row>
    <row r="138" spans="1:18">
      <c r="A138" s="266">
        <v>420</v>
      </c>
      <c r="B138" s="13" t="s">
        <v>502</v>
      </c>
      <c r="C138" s="267">
        <v>9185</v>
      </c>
      <c r="D138" s="268">
        <v>8.36</v>
      </c>
      <c r="E138" s="14">
        <v>14115757.755222339</v>
      </c>
      <c r="F138" s="14">
        <f>Tasaus[[#This Row],[Kunnallisvero (maksuunpantu), €]]*100/Tasaus[[#This Row],[Tuloveroprosentti 2023]]</f>
        <v>168848776.97634378</v>
      </c>
      <c r="G138" s="269">
        <f>Tasaus[[#This Row],[Verotettava tulo (kunnallisvero), €]]*($D$11/100)</f>
        <v>12444154.863156538</v>
      </c>
      <c r="H138" s="14">
        <v>2313280.4346921761</v>
      </c>
      <c r="I138" s="15">
        <v>1689914.4188499998</v>
      </c>
      <c r="J138" s="15">
        <f>SUM(Tasaus[[#This Row],[Laskennallinen kunnallisvero, €]:[Laskennallinen kiinteistövero, €]])</f>
        <v>16447349.716698714</v>
      </c>
      <c r="K138" s="15">
        <f>Tasaus[[#This Row],[Laskennallinen verotulo yhteensä, €]]/Tasaus[[#This Row],[Asukasluku 31.12.2022]]</f>
        <v>1790.6749827652384</v>
      </c>
      <c r="L138" s="34">
        <f>$K$11-Tasaus[[#This Row],[Laskennallinen verotulo yhteensä, €/asukas (=tasausraja)]]</f>
        <v>353.28501723476165</v>
      </c>
      <c r="M138" s="369">
        <f>IF(Tasaus[[#This Row],[Erotus = tasausraja - laskennallinen verotulo, €/asukas]]&gt;0,(Tasaus[[#This Row],[Erotus = tasausraja - laskennallinen verotulo, €/asukas]]*$B$7),(Tasaus[[#This Row],[Erotus = tasausraja - laskennallinen verotulo, €/asukas]]*$B$8))</f>
        <v>317.95651551128549</v>
      </c>
      <c r="N138" s="370">
        <f>Tasaus[[#This Row],[Tasaus,  €/asukas]]*Tasaus[[#This Row],[Asukasluku 31.12.2022]]</f>
        <v>2920430.5949711571</v>
      </c>
      <c r="P138" s="116"/>
      <c r="Q138" s="117"/>
      <c r="R138" s="118"/>
    </row>
    <row r="139" spans="1:18">
      <c r="A139" s="266">
        <v>421</v>
      </c>
      <c r="B139" s="13" t="s">
        <v>503</v>
      </c>
      <c r="C139" s="267">
        <v>698</v>
      </c>
      <c r="D139" s="268">
        <v>8.36</v>
      </c>
      <c r="E139" s="14">
        <v>832498.56886626489</v>
      </c>
      <c r="F139" s="14">
        <f>Tasaus[[#This Row],[Kunnallisvero (maksuunpantu), €]]*100/Tasaus[[#This Row],[Tuloveroprosentti 2023]]</f>
        <v>9958116.8524672836</v>
      </c>
      <c r="G139" s="269">
        <f>Tasaus[[#This Row],[Verotettava tulo (kunnallisvero), €]]*($D$11/100)</f>
        <v>733913.21202683891</v>
      </c>
      <c r="H139" s="14">
        <v>323929.6578965456</v>
      </c>
      <c r="I139" s="15">
        <v>221799.91704999999</v>
      </c>
      <c r="J139" s="15">
        <f>SUM(Tasaus[[#This Row],[Laskennallinen kunnallisvero, €]:[Laskennallinen kiinteistövero, €]])</f>
        <v>1279642.7869733844</v>
      </c>
      <c r="K139" s="15">
        <f>Tasaus[[#This Row],[Laskennallinen verotulo yhteensä, €]]/Tasaus[[#This Row],[Asukasluku 31.12.2022]]</f>
        <v>1833.2991217383731</v>
      </c>
      <c r="L139" s="34">
        <f>$K$11-Tasaus[[#This Row],[Laskennallinen verotulo yhteensä, €/asukas (=tasausraja)]]</f>
        <v>310.66087826162698</v>
      </c>
      <c r="M139" s="369">
        <f>IF(Tasaus[[#This Row],[Erotus = tasausraja - laskennallinen verotulo, €/asukas]]&gt;0,(Tasaus[[#This Row],[Erotus = tasausraja - laskennallinen verotulo, €/asukas]]*$B$7),(Tasaus[[#This Row],[Erotus = tasausraja - laskennallinen verotulo, €/asukas]]*$B$8))</f>
        <v>279.59479043546429</v>
      </c>
      <c r="N139" s="370">
        <f>Tasaus[[#This Row],[Tasaus,  €/asukas]]*Tasaus[[#This Row],[Asukasluku 31.12.2022]]</f>
        <v>195157.16372395409</v>
      </c>
      <c r="P139" s="116"/>
      <c r="Q139" s="117"/>
      <c r="R139" s="118"/>
    </row>
    <row r="140" spans="1:18">
      <c r="A140" s="266">
        <v>422</v>
      </c>
      <c r="B140" s="13" t="s">
        <v>504</v>
      </c>
      <c r="C140" s="267">
        <v>10334</v>
      </c>
      <c r="D140" s="268">
        <v>8.36</v>
      </c>
      <c r="E140" s="14">
        <v>14087575.73889442</v>
      </c>
      <c r="F140" s="14">
        <f>Tasaus[[#This Row],[Kunnallisvero (maksuunpantu), €]]*100/Tasaus[[#This Row],[Tuloveroprosentti 2023]]</f>
        <v>168511671.51787585</v>
      </c>
      <c r="G140" s="269">
        <f>Tasaus[[#This Row],[Verotettava tulo (kunnallisvero), €]]*($D$11/100)</f>
        <v>12419310.190867452</v>
      </c>
      <c r="H140" s="14">
        <v>3443680.5483280127</v>
      </c>
      <c r="I140" s="15">
        <v>1865785.08185</v>
      </c>
      <c r="J140" s="15">
        <f>SUM(Tasaus[[#This Row],[Laskennallinen kunnallisvero, €]:[Laskennallinen kiinteistövero, €]])</f>
        <v>17728775.821045466</v>
      </c>
      <c r="K140" s="15">
        <f>Tasaus[[#This Row],[Laskennallinen verotulo yhteensä, €]]/Tasaus[[#This Row],[Asukasluku 31.12.2022]]</f>
        <v>1715.5773002753499</v>
      </c>
      <c r="L140" s="34">
        <f>$K$11-Tasaus[[#This Row],[Laskennallinen verotulo yhteensä, €/asukas (=tasausraja)]]</f>
        <v>428.38269972465014</v>
      </c>
      <c r="M140" s="369">
        <f>IF(Tasaus[[#This Row],[Erotus = tasausraja - laskennallinen verotulo, €/asukas]]&gt;0,(Tasaus[[#This Row],[Erotus = tasausraja - laskennallinen verotulo, €/asukas]]*$B$7),(Tasaus[[#This Row],[Erotus = tasausraja - laskennallinen verotulo, €/asukas]]*$B$8))</f>
        <v>385.54442975218512</v>
      </c>
      <c r="N140" s="370">
        <f>Tasaus[[#This Row],[Tasaus,  €/asukas]]*Tasaus[[#This Row],[Asukasluku 31.12.2022]]</f>
        <v>3984216.1370590809</v>
      </c>
      <c r="P140" s="116"/>
      <c r="Q140" s="117"/>
      <c r="R140" s="118"/>
    </row>
    <row r="141" spans="1:18">
      <c r="A141" s="266">
        <v>423</v>
      </c>
      <c r="B141" s="13" t="s">
        <v>505</v>
      </c>
      <c r="C141" s="267">
        <v>20457</v>
      </c>
      <c r="D141" s="268">
        <v>7.1099999999999994</v>
      </c>
      <c r="E141" s="14">
        <v>32320075.725402921</v>
      </c>
      <c r="F141" s="14">
        <f>Tasaus[[#This Row],[Kunnallisvero (maksuunpantu), €]]*100/Tasaus[[#This Row],[Tuloveroprosentti 2023]]</f>
        <v>454572091.77781892</v>
      </c>
      <c r="G141" s="269">
        <f>Tasaus[[#This Row],[Verotettava tulo (kunnallisvero), €]]*($D$11/100)</f>
        <v>33501963.164025262</v>
      </c>
      <c r="H141" s="14">
        <v>4288312.9788547615</v>
      </c>
      <c r="I141" s="15">
        <v>2882086.4640500005</v>
      </c>
      <c r="J141" s="15">
        <f>SUM(Tasaus[[#This Row],[Laskennallinen kunnallisvero, €]:[Laskennallinen kiinteistövero, €]])</f>
        <v>40672362.606930025</v>
      </c>
      <c r="K141" s="15">
        <f>Tasaus[[#This Row],[Laskennallinen verotulo yhteensä, €]]/Tasaus[[#This Row],[Asukasluku 31.12.2022]]</f>
        <v>1988.1880337747482</v>
      </c>
      <c r="L141" s="34">
        <f>$K$11-Tasaus[[#This Row],[Laskennallinen verotulo yhteensä, €/asukas (=tasausraja)]]</f>
        <v>155.77196622525184</v>
      </c>
      <c r="M141" s="369">
        <f>IF(Tasaus[[#This Row],[Erotus = tasausraja - laskennallinen verotulo, €/asukas]]&gt;0,(Tasaus[[#This Row],[Erotus = tasausraja - laskennallinen verotulo, €/asukas]]*$B$7),(Tasaus[[#This Row],[Erotus = tasausraja - laskennallinen verotulo, €/asukas]]*$B$8))</f>
        <v>140.19476960272667</v>
      </c>
      <c r="N141" s="370">
        <f>Tasaus[[#This Row],[Tasaus,  €/asukas]]*Tasaus[[#This Row],[Asukasluku 31.12.2022]]</f>
        <v>2867964.4017629796</v>
      </c>
      <c r="P141" s="116"/>
      <c r="Q141" s="117"/>
      <c r="R141" s="118"/>
    </row>
    <row r="142" spans="1:18">
      <c r="A142" s="266">
        <v>425</v>
      </c>
      <c r="B142" s="13" t="s">
        <v>506</v>
      </c>
      <c r="C142" s="267">
        <v>10365</v>
      </c>
      <c r="D142" s="268">
        <v>8.86</v>
      </c>
      <c r="E142" s="14">
        <v>16839116.06383384</v>
      </c>
      <c r="F142" s="14">
        <f>Tasaus[[#This Row],[Kunnallisvero (maksuunpantu), €]]*100/Tasaus[[#This Row],[Tuloveroprosentti 2023]]</f>
        <v>190057743.38412914</v>
      </c>
      <c r="G142" s="269">
        <f>Tasaus[[#This Row],[Verotettava tulo (kunnallisvero), €]]*($D$11/100)</f>
        <v>14007255.687410321</v>
      </c>
      <c r="H142" s="14">
        <v>941200.96940677823</v>
      </c>
      <c r="I142" s="15">
        <v>1029115.1013000001</v>
      </c>
      <c r="J142" s="15">
        <f>SUM(Tasaus[[#This Row],[Laskennallinen kunnallisvero, €]:[Laskennallinen kiinteistövero, €]])</f>
        <v>15977571.758117098</v>
      </c>
      <c r="K142" s="15">
        <f>Tasaus[[#This Row],[Laskennallinen verotulo yhteensä, €]]/Tasaus[[#This Row],[Asukasluku 31.12.2022]]</f>
        <v>1541.4926925342111</v>
      </c>
      <c r="L142" s="34">
        <f>$K$11-Tasaus[[#This Row],[Laskennallinen verotulo yhteensä, €/asukas (=tasausraja)]]</f>
        <v>602.46730746578896</v>
      </c>
      <c r="M142" s="369">
        <f>IF(Tasaus[[#This Row],[Erotus = tasausraja - laskennallinen verotulo, €/asukas]]&gt;0,(Tasaus[[#This Row],[Erotus = tasausraja - laskennallinen verotulo, €/asukas]]*$B$7),(Tasaus[[#This Row],[Erotus = tasausraja - laskennallinen verotulo, €/asukas]]*$B$8))</f>
        <v>542.22057671921004</v>
      </c>
      <c r="N142" s="370">
        <f>Tasaus[[#This Row],[Tasaus,  €/asukas]]*Tasaus[[#This Row],[Asukasluku 31.12.2022]]</f>
        <v>5620116.2776946118</v>
      </c>
      <c r="P142" s="116"/>
      <c r="Q142" s="117"/>
      <c r="R142" s="118"/>
    </row>
    <row r="143" spans="1:18">
      <c r="A143" s="266">
        <v>426</v>
      </c>
      <c r="B143" s="13" t="s">
        <v>507</v>
      </c>
      <c r="C143" s="267">
        <v>11870</v>
      </c>
      <c r="D143" s="268">
        <v>8.860000000000003</v>
      </c>
      <c r="E143" s="14">
        <v>18825315.926124331</v>
      </c>
      <c r="F143" s="14">
        <f>Tasaus[[#This Row],[Kunnallisvero (maksuunpantu), €]]*100/Tasaus[[#This Row],[Tuloveroprosentti 2023]]</f>
        <v>212475349.05332193</v>
      </c>
      <c r="G143" s="269">
        <f>Tasaus[[#This Row],[Verotettava tulo (kunnallisvero), €]]*($D$11/100)</f>
        <v>15659433.22522983</v>
      </c>
      <c r="H143" s="14">
        <v>1534040.052559376</v>
      </c>
      <c r="I143" s="15">
        <v>1694838.0104500002</v>
      </c>
      <c r="J143" s="15">
        <f>SUM(Tasaus[[#This Row],[Laskennallinen kunnallisvero, €]:[Laskennallinen kiinteistövero, €]])</f>
        <v>18888311.288239207</v>
      </c>
      <c r="K143" s="15">
        <f>Tasaus[[#This Row],[Laskennallinen verotulo yhteensä, €]]/Tasaus[[#This Row],[Asukasluku 31.12.2022]]</f>
        <v>1591.2646409637075</v>
      </c>
      <c r="L143" s="34">
        <f>$K$11-Tasaus[[#This Row],[Laskennallinen verotulo yhteensä, €/asukas (=tasausraja)]]</f>
        <v>552.69535903629253</v>
      </c>
      <c r="M143" s="369">
        <f>IF(Tasaus[[#This Row],[Erotus = tasausraja - laskennallinen verotulo, €/asukas]]&gt;0,(Tasaus[[#This Row],[Erotus = tasausraja - laskennallinen verotulo, €/asukas]]*$B$7),(Tasaus[[#This Row],[Erotus = tasausraja - laskennallinen verotulo, €/asukas]]*$B$8))</f>
        <v>497.42582313266331</v>
      </c>
      <c r="N143" s="370">
        <f>Tasaus[[#This Row],[Tasaus,  €/asukas]]*Tasaus[[#This Row],[Asukasluku 31.12.2022]]</f>
        <v>5904444.5205847137</v>
      </c>
      <c r="P143" s="116"/>
      <c r="Q143" s="117"/>
      <c r="R143" s="118"/>
    </row>
    <row r="144" spans="1:18">
      <c r="A144" s="266">
        <v>430</v>
      </c>
      <c r="B144" s="13" t="s">
        <v>508</v>
      </c>
      <c r="C144" s="267">
        <v>15488</v>
      </c>
      <c r="D144" s="268">
        <v>8.36</v>
      </c>
      <c r="E144" s="14">
        <v>22690136.222991999</v>
      </c>
      <c r="F144" s="14">
        <f>Tasaus[[#This Row],[Kunnallisvero (maksuunpantu), €]]*100/Tasaus[[#This Row],[Tuloveroprosentti 2023]]</f>
        <v>271413112.71521533</v>
      </c>
      <c r="G144" s="269">
        <f>Tasaus[[#This Row],[Verotettava tulo (kunnallisvero), €]]*($D$11/100)</f>
        <v>20003146.407111373</v>
      </c>
      <c r="H144" s="14">
        <v>3613152.9563571424</v>
      </c>
      <c r="I144" s="15">
        <v>2581211.9357000003</v>
      </c>
      <c r="J144" s="15">
        <f>SUM(Tasaus[[#This Row],[Laskennallinen kunnallisvero, €]:[Laskennallinen kiinteistövero, €]])</f>
        <v>26197511.299168516</v>
      </c>
      <c r="K144" s="15">
        <f>Tasaus[[#This Row],[Laskennallinen verotulo yhteensä, €]]/Tasaus[[#This Row],[Asukasluku 31.12.2022]]</f>
        <v>1691.4715456591243</v>
      </c>
      <c r="L144" s="34">
        <f>$K$11-Tasaus[[#This Row],[Laskennallinen verotulo yhteensä, €/asukas (=tasausraja)]]</f>
        <v>452.48845434087571</v>
      </c>
      <c r="M144" s="369">
        <f>IF(Tasaus[[#This Row],[Erotus = tasausraja - laskennallinen verotulo, €/asukas]]&gt;0,(Tasaus[[#This Row],[Erotus = tasausraja - laskennallinen verotulo, €/asukas]]*$B$7),(Tasaus[[#This Row],[Erotus = tasausraja - laskennallinen verotulo, €/asukas]]*$B$8))</f>
        <v>407.23960890678813</v>
      </c>
      <c r="N144" s="370">
        <f>Tasaus[[#This Row],[Tasaus,  €/asukas]]*Tasaus[[#This Row],[Asukasluku 31.12.2022]]</f>
        <v>6307327.0627483344</v>
      </c>
      <c r="P144" s="116"/>
      <c r="Q144" s="117"/>
      <c r="R144" s="118"/>
    </row>
    <row r="145" spans="1:18">
      <c r="A145" s="266">
        <v>433</v>
      </c>
      <c r="B145" s="13" t="s">
        <v>509</v>
      </c>
      <c r="C145" s="267">
        <v>7746</v>
      </c>
      <c r="D145" s="268">
        <v>8.86</v>
      </c>
      <c r="E145" s="14">
        <v>13208242.63327807</v>
      </c>
      <c r="F145" s="14">
        <f>Tasaus[[#This Row],[Kunnallisvero (maksuunpantu), €]]*100/Tasaus[[#This Row],[Tuloveroprosentti 2023]]</f>
        <v>149077230.62390599</v>
      </c>
      <c r="G145" s="269">
        <f>Tasaus[[#This Row],[Verotettava tulo (kunnallisvero), €]]*($D$11/100)</f>
        <v>10986991.896981873</v>
      </c>
      <c r="H145" s="14">
        <v>1617821.049964854</v>
      </c>
      <c r="I145" s="15">
        <v>1364825.67555</v>
      </c>
      <c r="J145" s="15">
        <f>SUM(Tasaus[[#This Row],[Laskennallinen kunnallisvero, €]:[Laskennallinen kiinteistövero, €]])</f>
        <v>13969638.622496728</v>
      </c>
      <c r="K145" s="15">
        <f>Tasaus[[#This Row],[Laskennallinen verotulo yhteensä, €]]/Tasaus[[#This Row],[Asukasluku 31.12.2022]]</f>
        <v>1803.4648363667347</v>
      </c>
      <c r="L145" s="34">
        <f>$K$11-Tasaus[[#This Row],[Laskennallinen verotulo yhteensä, €/asukas (=tasausraja)]]</f>
        <v>340.49516363326529</v>
      </c>
      <c r="M145" s="369">
        <f>IF(Tasaus[[#This Row],[Erotus = tasausraja - laskennallinen verotulo, €/asukas]]&gt;0,(Tasaus[[#This Row],[Erotus = tasausraja - laskennallinen verotulo, €/asukas]]*$B$7),(Tasaus[[#This Row],[Erotus = tasausraja - laskennallinen verotulo, €/asukas]]*$B$8))</f>
        <v>306.44564726993877</v>
      </c>
      <c r="N145" s="370">
        <f>Tasaus[[#This Row],[Tasaus,  €/asukas]]*Tasaus[[#This Row],[Asukasluku 31.12.2022]]</f>
        <v>2373727.9837529459</v>
      </c>
      <c r="P145" s="116"/>
      <c r="Q145" s="117"/>
      <c r="R145" s="118"/>
    </row>
    <row r="146" spans="1:18">
      <c r="A146" s="266">
        <v>434</v>
      </c>
      <c r="B146" s="13" t="s">
        <v>510</v>
      </c>
      <c r="C146" s="267">
        <v>14514</v>
      </c>
      <c r="D146" s="268">
        <v>7.6099999999999994</v>
      </c>
      <c r="E146" s="14">
        <v>22229017.013523947</v>
      </c>
      <c r="F146" s="14">
        <f>Tasaus[[#This Row],[Kunnallisvero (maksuunpantu), €]]*100/Tasaus[[#This Row],[Tuloveroprosentti 2023]]</f>
        <v>292102720.28283769</v>
      </c>
      <c r="G146" s="269">
        <f>Tasaus[[#This Row],[Verotettava tulo (kunnallisvero), €]]*($D$11/100)</f>
        <v>21527970.484845143</v>
      </c>
      <c r="H146" s="14">
        <v>6632451.5940403007</v>
      </c>
      <c r="I146" s="15">
        <v>3461397.8173500001</v>
      </c>
      <c r="J146" s="15">
        <f>SUM(Tasaus[[#This Row],[Laskennallinen kunnallisvero, €]:[Laskennallinen kiinteistövero, €]])</f>
        <v>31621819.896235444</v>
      </c>
      <c r="K146" s="15">
        <f>Tasaus[[#This Row],[Laskennallinen verotulo yhteensä, €]]/Tasaus[[#This Row],[Asukasluku 31.12.2022]]</f>
        <v>2178.7115816615296</v>
      </c>
      <c r="L146" s="34">
        <f>$K$11-Tasaus[[#This Row],[Laskennallinen verotulo yhteensä, €/asukas (=tasausraja)]]</f>
        <v>-34.751581661529599</v>
      </c>
      <c r="M146" s="369">
        <f>IF(Tasaus[[#This Row],[Erotus = tasausraja - laskennallinen verotulo, €/asukas]]&gt;0,(Tasaus[[#This Row],[Erotus = tasausraja - laskennallinen verotulo, €/asukas]]*$B$7),(Tasaus[[#This Row],[Erotus = tasausraja - laskennallinen verotulo, €/asukas]]*$B$8))</f>
        <v>-3.4751581661529602</v>
      </c>
      <c r="N146" s="370">
        <f>Tasaus[[#This Row],[Tasaus,  €/asukas]]*Tasaus[[#This Row],[Asukasluku 31.12.2022]]</f>
        <v>-50438.445623544067</v>
      </c>
      <c r="P146" s="116"/>
      <c r="Q146" s="117"/>
      <c r="R146" s="118"/>
    </row>
    <row r="147" spans="1:18">
      <c r="A147" s="266">
        <v>435</v>
      </c>
      <c r="B147" s="13" t="s">
        <v>511</v>
      </c>
      <c r="C147" s="267">
        <v>691</v>
      </c>
      <c r="D147" s="268">
        <v>5.8599999999999994</v>
      </c>
      <c r="E147" s="14">
        <v>723799.08665787091</v>
      </c>
      <c r="F147" s="14">
        <f>Tasaus[[#This Row],[Kunnallisvero (maksuunpantu), €]]*100/Tasaus[[#This Row],[Tuloveroprosentti 2023]]</f>
        <v>12351520.250134315</v>
      </c>
      <c r="G147" s="269">
        <f>Tasaus[[#This Row],[Verotettava tulo (kunnallisvero), €]]*($D$11/100)</f>
        <v>910307.04243489925</v>
      </c>
      <c r="H147" s="14">
        <v>219720.94150879674</v>
      </c>
      <c r="I147" s="15">
        <v>241850.32209999999</v>
      </c>
      <c r="J147" s="15">
        <f>SUM(Tasaus[[#This Row],[Laskennallinen kunnallisvero, €]:[Laskennallinen kiinteistövero, €]])</f>
        <v>1371878.3060436959</v>
      </c>
      <c r="K147" s="15">
        <f>Tasaus[[#This Row],[Laskennallinen verotulo yhteensä, €]]/Tasaus[[#This Row],[Asukasluku 31.12.2022]]</f>
        <v>1985.352107154408</v>
      </c>
      <c r="L147" s="34">
        <f>$K$11-Tasaus[[#This Row],[Laskennallinen verotulo yhteensä, €/asukas (=tasausraja)]]</f>
        <v>158.607892845592</v>
      </c>
      <c r="M147" s="369">
        <f>IF(Tasaus[[#This Row],[Erotus = tasausraja - laskennallinen verotulo, €/asukas]]&gt;0,(Tasaus[[#This Row],[Erotus = tasausraja - laskennallinen verotulo, €/asukas]]*$B$7),(Tasaus[[#This Row],[Erotus = tasausraja - laskennallinen verotulo, €/asukas]]*$B$8))</f>
        <v>142.74710356103282</v>
      </c>
      <c r="N147" s="370">
        <f>Tasaus[[#This Row],[Tasaus,  €/asukas]]*Tasaus[[#This Row],[Asukasluku 31.12.2022]]</f>
        <v>98638.248560673674</v>
      </c>
      <c r="P147" s="116"/>
      <c r="Q147" s="117"/>
      <c r="R147" s="118"/>
    </row>
    <row r="148" spans="1:18">
      <c r="A148" s="266">
        <v>436</v>
      </c>
      <c r="B148" s="13" t="s">
        <v>512</v>
      </c>
      <c r="C148" s="267">
        <v>2031</v>
      </c>
      <c r="D148" s="268">
        <v>8.36</v>
      </c>
      <c r="E148" s="14">
        <v>2676297.9544228902</v>
      </c>
      <c r="F148" s="14">
        <f>Tasaus[[#This Row],[Kunnallisvero (maksuunpantu), €]]*100/Tasaus[[#This Row],[Tuloveroprosentti 2023]]</f>
        <v>32013133.426111128</v>
      </c>
      <c r="G148" s="269">
        <f>Tasaus[[#This Row],[Verotettava tulo (kunnallisvero), €]]*($D$11/100)</f>
        <v>2359367.9335043905</v>
      </c>
      <c r="H148" s="14">
        <v>173362.20777791791</v>
      </c>
      <c r="I148" s="15">
        <v>176633.24440000003</v>
      </c>
      <c r="J148" s="15">
        <f>SUM(Tasaus[[#This Row],[Laskennallinen kunnallisvero, €]:[Laskennallinen kiinteistövero, €]])</f>
        <v>2709363.3856823086</v>
      </c>
      <c r="K148" s="15">
        <f>Tasaus[[#This Row],[Laskennallinen verotulo yhteensä, €]]/Tasaus[[#This Row],[Asukasluku 31.12.2022]]</f>
        <v>1334.0046212123627</v>
      </c>
      <c r="L148" s="34">
        <f>$K$11-Tasaus[[#This Row],[Laskennallinen verotulo yhteensä, €/asukas (=tasausraja)]]</f>
        <v>809.9553787876373</v>
      </c>
      <c r="M148" s="369">
        <f>IF(Tasaus[[#This Row],[Erotus = tasausraja - laskennallinen verotulo, €/asukas]]&gt;0,(Tasaus[[#This Row],[Erotus = tasausraja - laskennallinen verotulo, €/asukas]]*$B$7),(Tasaus[[#This Row],[Erotus = tasausraja - laskennallinen verotulo, €/asukas]]*$B$8))</f>
        <v>728.95984090887362</v>
      </c>
      <c r="N148" s="370">
        <f>Tasaus[[#This Row],[Tasaus,  €/asukas]]*Tasaus[[#This Row],[Asukasluku 31.12.2022]]</f>
        <v>1480517.4368859222</v>
      </c>
      <c r="P148" s="116"/>
      <c r="Q148" s="117"/>
      <c r="R148" s="118"/>
    </row>
    <row r="149" spans="1:18">
      <c r="A149" s="266">
        <v>440</v>
      </c>
      <c r="B149" s="13" t="s">
        <v>513</v>
      </c>
      <c r="C149" s="267">
        <v>5708</v>
      </c>
      <c r="D149" s="268">
        <v>7.3599999999999994</v>
      </c>
      <c r="E149" s="14">
        <v>7430929.2860544687</v>
      </c>
      <c r="F149" s="14">
        <f>Tasaus[[#This Row],[Kunnallisvero (maksuunpantu), €]]*100/Tasaus[[#This Row],[Tuloveroprosentti 2023]]</f>
        <v>100963713.12574007</v>
      </c>
      <c r="G149" s="269">
        <f>Tasaus[[#This Row],[Verotettava tulo (kunnallisvero), €]]*($D$11/100)</f>
        <v>7441025.6573670441</v>
      </c>
      <c r="H149" s="14">
        <v>435145.25137776445</v>
      </c>
      <c r="I149" s="15">
        <v>755879.62735000008</v>
      </c>
      <c r="J149" s="15">
        <f>SUM(Tasaus[[#This Row],[Laskennallinen kunnallisvero, €]:[Laskennallinen kiinteistövero, €]])</f>
        <v>8632050.536094809</v>
      </c>
      <c r="K149" s="15">
        <f>Tasaus[[#This Row],[Laskennallinen verotulo yhteensä, €]]/Tasaus[[#This Row],[Asukasluku 31.12.2022]]</f>
        <v>1512.2723433943254</v>
      </c>
      <c r="L149" s="34">
        <f>$K$11-Tasaus[[#This Row],[Laskennallinen verotulo yhteensä, €/asukas (=tasausraja)]]</f>
        <v>631.68765660567465</v>
      </c>
      <c r="M149" s="369">
        <f>IF(Tasaus[[#This Row],[Erotus = tasausraja - laskennallinen verotulo, €/asukas]]&gt;0,(Tasaus[[#This Row],[Erotus = tasausraja - laskennallinen verotulo, €/asukas]]*$B$7),(Tasaus[[#This Row],[Erotus = tasausraja - laskennallinen verotulo, €/asukas]]*$B$8))</f>
        <v>568.51889094510716</v>
      </c>
      <c r="N149" s="370">
        <f>Tasaus[[#This Row],[Tasaus,  €/asukas]]*Tasaus[[#This Row],[Asukasluku 31.12.2022]]</f>
        <v>3245105.8295146716</v>
      </c>
      <c r="P149" s="116"/>
      <c r="Q149" s="117"/>
      <c r="R149" s="118"/>
    </row>
    <row r="150" spans="1:18">
      <c r="A150" s="266">
        <v>441</v>
      </c>
      <c r="B150" s="13" t="s">
        <v>514</v>
      </c>
      <c r="C150" s="267">
        <v>4407</v>
      </c>
      <c r="D150" s="268">
        <v>7.8599999999999994</v>
      </c>
      <c r="E150" s="14">
        <v>6348450.81274103</v>
      </c>
      <c r="F150" s="14">
        <f>Tasaus[[#This Row],[Kunnallisvero (maksuunpantu), €]]*100/Tasaus[[#This Row],[Tuloveroprosentti 2023]]</f>
        <v>80769094.309682325</v>
      </c>
      <c r="G150" s="269">
        <f>Tasaus[[#This Row],[Verotettava tulo (kunnallisvero), €]]*($D$11/100)</f>
        <v>5952682.2506235885</v>
      </c>
      <c r="H150" s="14">
        <v>1319125.1124470055</v>
      </c>
      <c r="I150" s="15">
        <v>965107.53054999991</v>
      </c>
      <c r="J150" s="15">
        <f>SUM(Tasaus[[#This Row],[Laskennallinen kunnallisvero, €]:[Laskennallinen kiinteistövero, €]])</f>
        <v>8236914.8936205944</v>
      </c>
      <c r="K150" s="15">
        <f>Tasaus[[#This Row],[Laskennallinen verotulo yhteensä, €]]/Tasaus[[#This Row],[Asukasluku 31.12.2022]]</f>
        <v>1869.0526193829351</v>
      </c>
      <c r="L150" s="34">
        <f>$K$11-Tasaus[[#This Row],[Laskennallinen verotulo yhteensä, €/asukas (=tasausraja)]]</f>
        <v>274.90738061706497</v>
      </c>
      <c r="M150" s="369">
        <f>IF(Tasaus[[#This Row],[Erotus = tasausraja - laskennallinen verotulo, €/asukas]]&gt;0,(Tasaus[[#This Row],[Erotus = tasausraja - laskennallinen verotulo, €/asukas]]*$B$7),(Tasaus[[#This Row],[Erotus = tasausraja - laskennallinen verotulo, €/asukas]]*$B$8))</f>
        <v>247.41664255535849</v>
      </c>
      <c r="N150" s="370">
        <f>Tasaus[[#This Row],[Tasaus,  €/asukas]]*Tasaus[[#This Row],[Asukasluku 31.12.2022]]</f>
        <v>1090365.1437414649</v>
      </c>
      <c r="P150" s="116"/>
      <c r="Q150" s="117"/>
      <c r="R150" s="118"/>
    </row>
    <row r="151" spans="1:18">
      <c r="A151" s="266">
        <v>444</v>
      </c>
      <c r="B151" s="13" t="s">
        <v>515</v>
      </c>
      <c r="C151" s="267">
        <v>45373</v>
      </c>
      <c r="D151" s="268">
        <v>7.8599999999999994</v>
      </c>
      <c r="E151" s="14">
        <v>79063653.211250037</v>
      </c>
      <c r="F151" s="14">
        <f>Tasaus[[#This Row],[Kunnallisvero (maksuunpantu), €]]*100/Tasaus[[#This Row],[Tuloveroprosentti 2023]]</f>
        <v>1005898895.8174306</v>
      </c>
      <c r="G151" s="269">
        <f>Tasaus[[#This Row],[Verotettava tulo (kunnallisvero), €]]*($D$11/100)</f>
        <v>74134748.621744648</v>
      </c>
      <c r="H151" s="14">
        <v>9058612.9404258877</v>
      </c>
      <c r="I151" s="15">
        <v>8391182.2186999992</v>
      </c>
      <c r="J151" s="15">
        <f>SUM(Tasaus[[#This Row],[Laskennallinen kunnallisvero, €]:[Laskennallinen kiinteistövero, €]])</f>
        <v>91584543.780870527</v>
      </c>
      <c r="K151" s="15">
        <f>Tasaus[[#This Row],[Laskennallinen verotulo yhteensä, €]]/Tasaus[[#This Row],[Asukasluku 31.12.2022]]</f>
        <v>2018.4811183053914</v>
      </c>
      <c r="L151" s="34">
        <f>$K$11-Tasaus[[#This Row],[Laskennallinen verotulo yhteensä, €/asukas (=tasausraja)]]</f>
        <v>125.47888169460862</v>
      </c>
      <c r="M151" s="369">
        <f>IF(Tasaus[[#This Row],[Erotus = tasausraja - laskennallinen verotulo, €/asukas]]&gt;0,(Tasaus[[#This Row],[Erotus = tasausraja - laskennallinen verotulo, €/asukas]]*$B$7),(Tasaus[[#This Row],[Erotus = tasausraja - laskennallinen verotulo, €/asukas]]*$B$8))</f>
        <v>112.93099352514776</v>
      </c>
      <c r="N151" s="370">
        <f>Tasaus[[#This Row],[Tasaus,  €/asukas]]*Tasaus[[#This Row],[Asukasluku 31.12.2022]]</f>
        <v>5124017.9692165293</v>
      </c>
      <c r="P151" s="116"/>
      <c r="Q151" s="117"/>
      <c r="R151" s="118"/>
    </row>
    <row r="152" spans="1:18">
      <c r="A152" s="266">
        <v>445</v>
      </c>
      <c r="B152" s="13" t="s">
        <v>152</v>
      </c>
      <c r="C152" s="267">
        <v>14941</v>
      </c>
      <c r="D152" s="268">
        <v>7.8599999999999994</v>
      </c>
      <c r="E152" s="14">
        <v>26510967.282834999</v>
      </c>
      <c r="F152" s="14">
        <f>Tasaus[[#This Row],[Kunnallisvero (maksuunpantu), €]]*100/Tasaus[[#This Row],[Tuloveroprosentti 2023]]</f>
        <v>337289660.0869593</v>
      </c>
      <c r="G152" s="269">
        <f>Tasaus[[#This Row],[Verotettava tulo (kunnallisvero), €]]*($D$11/100)</f>
        <v>24858247.948408905</v>
      </c>
      <c r="H152" s="14">
        <v>2314345.8326226114</v>
      </c>
      <c r="I152" s="15">
        <v>4367919.9867500002</v>
      </c>
      <c r="J152" s="15">
        <f>SUM(Tasaus[[#This Row],[Laskennallinen kunnallisvero, €]:[Laskennallinen kiinteistövero, €]])</f>
        <v>31540513.767781515</v>
      </c>
      <c r="K152" s="15">
        <f>Tasaus[[#This Row],[Laskennallinen verotulo yhteensä, €]]/Tasaus[[#This Row],[Asukasluku 31.12.2022]]</f>
        <v>2111.0042010428697</v>
      </c>
      <c r="L152" s="34">
        <f>$K$11-Tasaus[[#This Row],[Laskennallinen verotulo yhteensä, €/asukas (=tasausraja)]]</f>
        <v>32.955798957130355</v>
      </c>
      <c r="M152" s="369">
        <f>IF(Tasaus[[#This Row],[Erotus = tasausraja - laskennallinen verotulo, €/asukas]]&gt;0,(Tasaus[[#This Row],[Erotus = tasausraja - laskennallinen verotulo, €/asukas]]*$B$7),(Tasaus[[#This Row],[Erotus = tasausraja - laskennallinen verotulo, €/asukas]]*$B$8))</f>
        <v>29.660219061417319</v>
      </c>
      <c r="N152" s="370">
        <f>Tasaus[[#This Row],[Tasaus,  €/asukas]]*Tasaus[[#This Row],[Asukasluku 31.12.2022]]</f>
        <v>443153.33299663616</v>
      </c>
      <c r="P152" s="116"/>
      <c r="Q152" s="117"/>
      <c r="R152" s="118"/>
    </row>
    <row r="153" spans="1:18">
      <c r="A153" s="266">
        <v>475</v>
      </c>
      <c r="B153" s="13" t="s">
        <v>516</v>
      </c>
      <c r="C153" s="267">
        <v>5421</v>
      </c>
      <c r="D153" s="268">
        <v>8.8599999999999959</v>
      </c>
      <c r="E153" s="14">
        <v>9143257.7589018401</v>
      </c>
      <c r="F153" s="14">
        <f>Tasaus[[#This Row],[Kunnallisvero (maksuunpantu), €]]*100/Tasaus[[#This Row],[Tuloveroprosentti 2023]]</f>
        <v>103197040.16819237</v>
      </c>
      <c r="G153" s="269">
        <f>Tasaus[[#This Row],[Verotettava tulo (kunnallisvero), €]]*($D$11/100)</f>
        <v>7605621.8603957798</v>
      </c>
      <c r="H153" s="14">
        <v>1217844.9955287597</v>
      </c>
      <c r="I153" s="15">
        <v>947702.17739999993</v>
      </c>
      <c r="J153" s="15">
        <f>SUM(Tasaus[[#This Row],[Laskennallinen kunnallisvero, €]:[Laskennallinen kiinteistövero, €]])</f>
        <v>9771169.0333245397</v>
      </c>
      <c r="K153" s="15">
        <f>Tasaus[[#This Row],[Laskennallinen verotulo yhteensä, €]]/Tasaus[[#This Row],[Asukasluku 31.12.2022]]</f>
        <v>1802.4661563041025</v>
      </c>
      <c r="L153" s="34">
        <f>$K$11-Tasaus[[#This Row],[Laskennallinen verotulo yhteensä, €/asukas (=tasausraja)]]</f>
        <v>341.49384369589757</v>
      </c>
      <c r="M153" s="369">
        <f>IF(Tasaus[[#This Row],[Erotus = tasausraja - laskennallinen verotulo, €/asukas]]&gt;0,(Tasaus[[#This Row],[Erotus = tasausraja - laskennallinen verotulo, €/asukas]]*$B$7),(Tasaus[[#This Row],[Erotus = tasausraja - laskennallinen verotulo, €/asukas]]*$B$8))</f>
        <v>307.3444593263078</v>
      </c>
      <c r="N153" s="370">
        <f>Tasaus[[#This Row],[Tasaus,  €/asukas]]*Tasaus[[#This Row],[Asukasluku 31.12.2022]]</f>
        <v>1666114.3140079146</v>
      </c>
      <c r="P153" s="116"/>
      <c r="Q153" s="117"/>
      <c r="R153" s="118"/>
    </row>
    <row r="154" spans="1:18">
      <c r="A154" s="266">
        <v>480</v>
      </c>
      <c r="B154" s="13" t="s">
        <v>517</v>
      </c>
      <c r="C154" s="267">
        <v>1987</v>
      </c>
      <c r="D154" s="268">
        <v>8.11</v>
      </c>
      <c r="E154" s="14">
        <v>2802304.0851198398</v>
      </c>
      <c r="F154" s="14">
        <f>Tasaus[[#This Row],[Kunnallisvero (maksuunpantu), €]]*100/Tasaus[[#This Row],[Tuloveroprosentti 2023]]</f>
        <v>34553687.855978303</v>
      </c>
      <c r="G154" s="269">
        <f>Tasaus[[#This Row],[Verotettava tulo (kunnallisvero), €]]*($D$11/100)</f>
        <v>2546606.7949856012</v>
      </c>
      <c r="H154" s="14">
        <v>270426.10044731095</v>
      </c>
      <c r="I154" s="15">
        <v>238569.52220000001</v>
      </c>
      <c r="J154" s="15">
        <f>SUM(Tasaus[[#This Row],[Laskennallinen kunnallisvero, €]:[Laskennallinen kiinteistövero, €]])</f>
        <v>3055602.4176329123</v>
      </c>
      <c r="K154" s="15">
        <f>Tasaus[[#This Row],[Laskennallinen verotulo yhteensä, €]]/Tasaus[[#This Row],[Asukasluku 31.12.2022]]</f>
        <v>1537.7968885923062</v>
      </c>
      <c r="L154" s="34">
        <f>$K$11-Tasaus[[#This Row],[Laskennallinen verotulo yhteensä, €/asukas (=tasausraja)]]</f>
        <v>606.1631114076938</v>
      </c>
      <c r="M154" s="369">
        <f>IF(Tasaus[[#This Row],[Erotus = tasausraja - laskennallinen verotulo, €/asukas]]&gt;0,(Tasaus[[#This Row],[Erotus = tasausraja - laskennallinen verotulo, €/asukas]]*$B$7),(Tasaus[[#This Row],[Erotus = tasausraja - laskennallinen verotulo, €/asukas]]*$B$8))</f>
        <v>545.54680026692449</v>
      </c>
      <c r="N154" s="370">
        <f>Tasaus[[#This Row],[Tasaus,  €/asukas]]*Tasaus[[#This Row],[Asukasluku 31.12.2022]]</f>
        <v>1084001.492130379</v>
      </c>
      <c r="P154" s="116"/>
      <c r="Q154" s="117"/>
      <c r="R154" s="118"/>
    </row>
    <row r="155" spans="1:18">
      <c r="A155" s="266">
        <v>481</v>
      </c>
      <c r="B155" s="13" t="s">
        <v>518</v>
      </c>
      <c r="C155" s="267">
        <v>9506</v>
      </c>
      <c r="D155" s="268">
        <v>8.11</v>
      </c>
      <c r="E155" s="14">
        <v>18000088.67877857</v>
      </c>
      <c r="F155" s="14">
        <f>Tasaus[[#This Row],[Kunnallisvero (maksuunpantu), €]]*100/Tasaus[[#This Row],[Tuloveroprosentti 2023]]</f>
        <v>221949305.53364453</v>
      </c>
      <c r="G155" s="269">
        <f>Tasaus[[#This Row],[Verotettava tulo (kunnallisvero), €]]*($D$11/100)</f>
        <v>16357663.817829605</v>
      </c>
      <c r="H155" s="14">
        <v>1638422.8620138257</v>
      </c>
      <c r="I155" s="15">
        <v>1405802.8102999998</v>
      </c>
      <c r="J155" s="15">
        <f>SUM(Tasaus[[#This Row],[Laskennallinen kunnallisvero, €]:[Laskennallinen kiinteistövero, €]])</f>
        <v>19401889.490143429</v>
      </c>
      <c r="K155" s="15">
        <f>Tasaus[[#This Row],[Laskennallinen verotulo yhteensä, €]]/Tasaus[[#This Row],[Asukasluku 31.12.2022]]</f>
        <v>2041.0150946921344</v>
      </c>
      <c r="L155" s="34">
        <f>$K$11-Tasaus[[#This Row],[Laskennallinen verotulo yhteensä, €/asukas (=tasausraja)]]</f>
        <v>102.94490530786561</v>
      </c>
      <c r="M155" s="369">
        <f>IF(Tasaus[[#This Row],[Erotus = tasausraja - laskennallinen verotulo, €/asukas]]&gt;0,(Tasaus[[#This Row],[Erotus = tasausraja - laskennallinen verotulo, €/asukas]]*$B$7),(Tasaus[[#This Row],[Erotus = tasausraja - laskennallinen verotulo, €/asukas]]*$B$8))</f>
        <v>92.65041477707905</v>
      </c>
      <c r="N155" s="370">
        <f>Tasaus[[#This Row],[Tasaus,  €/asukas]]*Tasaus[[#This Row],[Asukasluku 31.12.2022]]</f>
        <v>880734.84287091345</v>
      </c>
      <c r="P155" s="116"/>
      <c r="Q155" s="117"/>
      <c r="R155" s="118"/>
    </row>
    <row r="156" spans="1:18">
      <c r="A156" s="266">
        <v>483</v>
      </c>
      <c r="B156" s="13" t="s">
        <v>519</v>
      </c>
      <c r="C156" s="267">
        <v>1048</v>
      </c>
      <c r="D156" s="268">
        <v>9.86</v>
      </c>
      <c r="E156" s="14">
        <v>1263584.0590104898</v>
      </c>
      <c r="F156" s="14">
        <f>Tasaus[[#This Row],[Kunnallisvero (maksuunpantu), €]]*100/Tasaus[[#This Row],[Tuloveroprosentti 2023]]</f>
        <v>12815254.148179412</v>
      </c>
      <c r="G156" s="269">
        <f>Tasaus[[#This Row],[Verotettava tulo (kunnallisvero), €]]*($D$11/100)</f>
        <v>944484.23072082282</v>
      </c>
      <c r="H156" s="14">
        <v>117206.31295019493</v>
      </c>
      <c r="I156" s="15">
        <v>105280.56015</v>
      </c>
      <c r="J156" s="15">
        <f>SUM(Tasaus[[#This Row],[Laskennallinen kunnallisvero, €]:[Laskennallinen kiinteistövero, €]])</f>
        <v>1166971.1038210178</v>
      </c>
      <c r="K156" s="15">
        <f>Tasaus[[#This Row],[Laskennallinen verotulo yhteensä, €]]/Tasaus[[#This Row],[Asukasluku 31.12.2022]]</f>
        <v>1113.5220456307422</v>
      </c>
      <c r="L156" s="34">
        <f>$K$11-Tasaus[[#This Row],[Laskennallinen verotulo yhteensä, €/asukas (=tasausraja)]]</f>
        <v>1030.4379543692578</v>
      </c>
      <c r="M156" s="369">
        <f>IF(Tasaus[[#This Row],[Erotus = tasausraja - laskennallinen verotulo, €/asukas]]&gt;0,(Tasaus[[#This Row],[Erotus = tasausraja - laskennallinen verotulo, €/asukas]]*$B$7),(Tasaus[[#This Row],[Erotus = tasausraja - laskennallinen verotulo, €/asukas]]*$B$8))</f>
        <v>927.39415893233206</v>
      </c>
      <c r="N156" s="370">
        <f>Tasaus[[#This Row],[Tasaus,  €/asukas]]*Tasaus[[#This Row],[Asukasluku 31.12.2022]]</f>
        <v>971909.078561084</v>
      </c>
      <c r="P156" s="116"/>
      <c r="Q156" s="117"/>
      <c r="R156" s="118"/>
    </row>
    <row r="157" spans="1:18">
      <c r="A157" s="266">
        <v>484</v>
      </c>
      <c r="B157" s="13" t="s">
        <v>520</v>
      </c>
      <c r="C157" s="267">
        <v>3021</v>
      </c>
      <c r="D157" s="268">
        <v>7.8599999999999994</v>
      </c>
      <c r="E157" s="14">
        <v>3797617.0271626296</v>
      </c>
      <c r="F157" s="14">
        <f>Tasaus[[#This Row],[Kunnallisvero (maksuunpantu), €]]*100/Tasaus[[#This Row],[Tuloveroprosentti 2023]]</f>
        <v>48315738.259066537</v>
      </c>
      <c r="G157" s="269">
        <f>Tasaus[[#This Row],[Verotettava tulo (kunnallisvero), €]]*($D$11/100)</f>
        <v>3560869.9096932043</v>
      </c>
      <c r="H157" s="14">
        <v>1416589.9355475509</v>
      </c>
      <c r="I157" s="15">
        <v>674559.91589999991</v>
      </c>
      <c r="J157" s="15">
        <f>SUM(Tasaus[[#This Row],[Laskennallinen kunnallisvero, €]:[Laskennallinen kiinteistövero, €]])</f>
        <v>5652019.7611407544</v>
      </c>
      <c r="K157" s="15">
        <f>Tasaus[[#This Row],[Laskennallinen verotulo yhteensä, €]]/Tasaus[[#This Row],[Asukasluku 31.12.2022]]</f>
        <v>1870.9102155381511</v>
      </c>
      <c r="L157" s="34">
        <f>$K$11-Tasaus[[#This Row],[Laskennallinen verotulo yhteensä, €/asukas (=tasausraja)]]</f>
        <v>273.04978446184896</v>
      </c>
      <c r="M157" s="369">
        <f>IF(Tasaus[[#This Row],[Erotus = tasausraja - laskennallinen verotulo, €/asukas]]&gt;0,(Tasaus[[#This Row],[Erotus = tasausraja - laskennallinen verotulo, €/asukas]]*$B$7),(Tasaus[[#This Row],[Erotus = tasausraja - laskennallinen verotulo, €/asukas]]*$B$8))</f>
        <v>245.74480601566407</v>
      </c>
      <c r="N157" s="370">
        <f>Tasaus[[#This Row],[Tasaus,  €/asukas]]*Tasaus[[#This Row],[Asukasluku 31.12.2022]]</f>
        <v>742395.05897332111</v>
      </c>
      <c r="P157" s="116"/>
      <c r="Q157" s="117"/>
      <c r="R157" s="118"/>
    </row>
    <row r="158" spans="1:18">
      <c r="A158" s="266">
        <v>489</v>
      </c>
      <c r="B158" s="13" t="s">
        <v>521</v>
      </c>
      <c r="C158" s="267">
        <v>1794</v>
      </c>
      <c r="D158" s="268">
        <v>7.8599999999999994</v>
      </c>
      <c r="E158" s="14">
        <v>2357805.0391272297</v>
      </c>
      <c r="F158" s="14">
        <f>Tasaus[[#This Row],[Kunnallisvero (maksuunpantu), €]]*100/Tasaus[[#This Row],[Tuloveroprosentti 2023]]</f>
        <v>29997519.581771374</v>
      </c>
      <c r="G158" s="269">
        <f>Tasaus[[#This Row],[Verotettava tulo (kunnallisvero), €]]*($D$11/100)</f>
        <v>2210817.1931765508</v>
      </c>
      <c r="H158" s="14">
        <v>459821.65263827262</v>
      </c>
      <c r="I158" s="15">
        <v>283756.74805000005</v>
      </c>
      <c r="J158" s="15">
        <f>SUM(Tasaus[[#This Row],[Laskennallinen kunnallisvero, €]:[Laskennallinen kiinteistövero, €]])</f>
        <v>2954395.5938648232</v>
      </c>
      <c r="K158" s="15">
        <f>Tasaus[[#This Row],[Laskennallinen verotulo yhteensä, €]]/Tasaus[[#This Row],[Asukasluku 31.12.2022]]</f>
        <v>1646.8202864352415</v>
      </c>
      <c r="L158" s="34">
        <f>$K$11-Tasaus[[#This Row],[Laskennallinen verotulo yhteensä, €/asukas (=tasausraja)]]</f>
        <v>497.13971356475849</v>
      </c>
      <c r="M158" s="369">
        <f>IF(Tasaus[[#This Row],[Erotus = tasausraja - laskennallinen verotulo, €/asukas]]&gt;0,(Tasaus[[#This Row],[Erotus = tasausraja - laskennallinen verotulo, €/asukas]]*$B$7),(Tasaus[[#This Row],[Erotus = tasausraja - laskennallinen verotulo, €/asukas]]*$B$8))</f>
        <v>447.42574220828266</v>
      </c>
      <c r="N158" s="370">
        <f>Tasaus[[#This Row],[Tasaus,  €/asukas]]*Tasaus[[#This Row],[Asukasluku 31.12.2022]]</f>
        <v>802681.78152165911</v>
      </c>
      <c r="P158" s="116"/>
      <c r="Q158" s="117"/>
      <c r="R158" s="118"/>
    </row>
    <row r="159" spans="1:18">
      <c r="A159" s="266">
        <v>491</v>
      </c>
      <c r="B159" s="13" t="s">
        <v>522</v>
      </c>
      <c r="C159" s="267">
        <v>51783</v>
      </c>
      <c r="D159" s="268">
        <v>9.36</v>
      </c>
      <c r="E159" s="14">
        <v>94687600.474893153</v>
      </c>
      <c r="F159" s="14">
        <f>Tasaus[[#This Row],[Kunnallisvero (maksuunpantu), €]]*100/Tasaus[[#This Row],[Tuloveroprosentti 2023]]</f>
        <v>1011619663.193303</v>
      </c>
      <c r="G159" s="269">
        <f>Tasaus[[#This Row],[Verotettava tulo (kunnallisvero), €]]*($D$11/100)</f>
        <v>74556369.177346453</v>
      </c>
      <c r="H159" s="14">
        <v>12907465.409780284</v>
      </c>
      <c r="I159" s="15">
        <v>9908143.5939000025</v>
      </c>
      <c r="J159" s="15">
        <f>SUM(Tasaus[[#This Row],[Laskennallinen kunnallisvero, €]:[Laskennallinen kiinteistövero, €]])</f>
        <v>97371978.181026727</v>
      </c>
      <c r="K159" s="15">
        <f>Tasaus[[#This Row],[Laskennallinen verotulo yhteensä, €]]/Tasaus[[#This Row],[Asukasluku 31.12.2022]]</f>
        <v>1880.3850333319183</v>
      </c>
      <c r="L159" s="34">
        <f>$K$11-Tasaus[[#This Row],[Laskennallinen verotulo yhteensä, €/asukas (=tasausraja)]]</f>
        <v>263.57496666808174</v>
      </c>
      <c r="M159" s="369">
        <f>IF(Tasaus[[#This Row],[Erotus = tasausraja - laskennallinen verotulo, €/asukas]]&gt;0,(Tasaus[[#This Row],[Erotus = tasausraja - laskennallinen verotulo, €/asukas]]*$B$7),(Tasaus[[#This Row],[Erotus = tasausraja - laskennallinen verotulo, €/asukas]]*$B$8))</f>
        <v>237.21747000127357</v>
      </c>
      <c r="N159" s="370">
        <f>Tasaus[[#This Row],[Tasaus,  €/asukas]]*Tasaus[[#This Row],[Asukasluku 31.12.2022]]</f>
        <v>12283832.249075949</v>
      </c>
      <c r="P159" s="116"/>
      <c r="Q159" s="117"/>
      <c r="R159" s="118"/>
    </row>
    <row r="160" spans="1:18">
      <c r="A160" s="266">
        <v>494</v>
      </c>
      <c r="B160" s="13" t="s">
        <v>523</v>
      </c>
      <c r="C160" s="267">
        <v>8847</v>
      </c>
      <c r="D160" s="268">
        <v>8.86</v>
      </c>
      <c r="E160" s="14">
        <v>14246731.869566839</v>
      </c>
      <c r="F160" s="14">
        <f>Tasaus[[#This Row],[Kunnallisvero (maksuunpantu), €]]*100/Tasaus[[#This Row],[Tuloveroprosentti 2023]]</f>
        <v>160798328.09894854</v>
      </c>
      <c r="G160" s="269">
        <f>Tasaus[[#This Row],[Verotettava tulo (kunnallisvero), €]]*($D$11/100)</f>
        <v>11850836.78089251</v>
      </c>
      <c r="H160" s="14">
        <v>857515.68630386121</v>
      </c>
      <c r="I160" s="15">
        <v>1062777.5517</v>
      </c>
      <c r="J160" s="15">
        <f>SUM(Tasaus[[#This Row],[Laskennallinen kunnallisvero, €]:[Laskennallinen kiinteistövero, €]])</f>
        <v>13771130.018896371</v>
      </c>
      <c r="K160" s="15">
        <f>Tasaus[[#This Row],[Laskennallinen verotulo yhteensä, €]]/Tasaus[[#This Row],[Asukasluku 31.12.2022]]</f>
        <v>1556.5875459360655</v>
      </c>
      <c r="L160" s="34">
        <f>$K$11-Tasaus[[#This Row],[Laskennallinen verotulo yhteensä, €/asukas (=tasausraja)]]</f>
        <v>587.37245406393458</v>
      </c>
      <c r="M160" s="369">
        <f>IF(Tasaus[[#This Row],[Erotus = tasausraja - laskennallinen verotulo, €/asukas]]&gt;0,(Tasaus[[#This Row],[Erotus = tasausraja - laskennallinen verotulo, €/asukas]]*$B$7),(Tasaus[[#This Row],[Erotus = tasausraja - laskennallinen verotulo, €/asukas]]*$B$8))</f>
        <v>528.63520865754117</v>
      </c>
      <c r="N160" s="370">
        <f>Tasaus[[#This Row],[Tasaus,  €/asukas]]*Tasaus[[#This Row],[Asukasluku 31.12.2022]]</f>
        <v>4676835.6909932671</v>
      </c>
      <c r="P160" s="116"/>
      <c r="Q160" s="117"/>
      <c r="R160" s="118"/>
    </row>
    <row r="161" spans="1:18">
      <c r="A161" s="266">
        <v>495</v>
      </c>
      <c r="B161" s="13" t="s">
        <v>524</v>
      </c>
      <c r="C161" s="267">
        <v>1506</v>
      </c>
      <c r="D161" s="268">
        <v>9.36</v>
      </c>
      <c r="E161" s="14">
        <v>2004084.6034216697</v>
      </c>
      <c r="F161" s="14">
        <f>Tasaus[[#This Row],[Kunnallisvero (maksuunpantu), €]]*100/Tasaus[[#This Row],[Tuloveroprosentti 2023]]</f>
        <v>21411160.292966556</v>
      </c>
      <c r="G161" s="269">
        <f>Tasaus[[#This Row],[Verotettava tulo (kunnallisvero), €]]*($D$11/100)</f>
        <v>1578002.5135916355</v>
      </c>
      <c r="H161" s="14">
        <v>834166.74467694771</v>
      </c>
      <c r="I161" s="15">
        <v>264372.99830000004</v>
      </c>
      <c r="J161" s="15">
        <f>SUM(Tasaus[[#This Row],[Laskennallinen kunnallisvero, €]:[Laskennallinen kiinteistövero, €]])</f>
        <v>2676542.2565685832</v>
      </c>
      <c r="K161" s="15">
        <f>Tasaus[[#This Row],[Laskennallinen verotulo yhteensä, €]]/Tasaus[[#This Row],[Asukasluku 31.12.2022]]</f>
        <v>1777.2524944014497</v>
      </c>
      <c r="L161" s="34">
        <f>$K$11-Tasaus[[#This Row],[Laskennallinen verotulo yhteensä, €/asukas (=tasausraja)]]</f>
        <v>366.70750559855037</v>
      </c>
      <c r="M161" s="369">
        <f>IF(Tasaus[[#This Row],[Erotus = tasausraja - laskennallinen verotulo, €/asukas]]&gt;0,(Tasaus[[#This Row],[Erotus = tasausraja - laskennallinen verotulo, €/asukas]]*$B$7),(Tasaus[[#This Row],[Erotus = tasausraja - laskennallinen verotulo, €/asukas]]*$B$8))</f>
        <v>330.03675503869533</v>
      </c>
      <c r="N161" s="370">
        <f>Tasaus[[#This Row],[Tasaus,  €/asukas]]*Tasaus[[#This Row],[Asukasluku 31.12.2022]]</f>
        <v>497035.35308827518</v>
      </c>
      <c r="P161" s="116"/>
      <c r="Q161" s="117"/>
      <c r="R161" s="118"/>
    </row>
    <row r="162" spans="1:18">
      <c r="A162" s="266">
        <v>498</v>
      </c>
      <c r="B162" s="13" t="s">
        <v>525</v>
      </c>
      <c r="C162" s="267">
        <v>2276</v>
      </c>
      <c r="D162" s="268">
        <v>8.86</v>
      </c>
      <c r="E162" s="14">
        <v>3807552.9944577296</v>
      </c>
      <c r="F162" s="14">
        <f>Tasaus[[#This Row],[Kunnallisvero (maksuunpantu), €]]*100/Tasaus[[#This Row],[Tuloveroprosentti 2023]]</f>
        <v>42974638.763631262</v>
      </c>
      <c r="G162" s="269">
        <f>Tasaus[[#This Row],[Verotettava tulo (kunnallisvero), €]]*($D$11/100)</f>
        <v>3167230.8768796246</v>
      </c>
      <c r="H162" s="14">
        <v>827687.1261403613</v>
      </c>
      <c r="I162" s="15">
        <v>654275.58624999993</v>
      </c>
      <c r="J162" s="15">
        <f>SUM(Tasaus[[#This Row],[Laskennallinen kunnallisvero, €]:[Laskennallinen kiinteistövero, €]])</f>
        <v>4649193.5892699854</v>
      </c>
      <c r="K162" s="15">
        <f>Tasaus[[#This Row],[Laskennallinen verotulo yhteensä, €]]/Tasaus[[#This Row],[Asukasluku 31.12.2022]]</f>
        <v>2042.7036859709954</v>
      </c>
      <c r="L162" s="34">
        <f>$K$11-Tasaus[[#This Row],[Laskennallinen verotulo yhteensä, €/asukas (=tasausraja)]]</f>
        <v>101.25631402900467</v>
      </c>
      <c r="M162" s="369">
        <f>IF(Tasaus[[#This Row],[Erotus = tasausraja - laskennallinen verotulo, €/asukas]]&gt;0,(Tasaus[[#This Row],[Erotus = tasausraja - laskennallinen verotulo, €/asukas]]*$B$7),(Tasaus[[#This Row],[Erotus = tasausraja - laskennallinen verotulo, €/asukas]]*$B$8))</f>
        <v>91.130682626104203</v>
      </c>
      <c r="N162" s="370">
        <f>Tasaus[[#This Row],[Tasaus,  €/asukas]]*Tasaus[[#This Row],[Asukasluku 31.12.2022]]</f>
        <v>207413.43365701317</v>
      </c>
      <c r="P162" s="116"/>
      <c r="Q162" s="117"/>
      <c r="R162" s="118"/>
    </row>
    <row r="163" spans="1:18">
      <c r="A163" s="242">
        <v>499</v>
      </c>
      <c r="B163" s="36" t="s">
        <v>526</v>
      </c>
      <c r="C163" s="267">
        <v>19506</v>
      </c>
      <c r="D163" s="268">
        <v>8.11</v>
      </c>
      <c r="E163" s="14">
        <v>34362097.65849679</v>
      </c>
      <c r="F163" s="14">
        <f>Tasaus[[#This Row],[Kunnallisvero (maksuunpantu), €]]*100/Tasaus[[#This Row],[Tuloveroprosentti 2023]]</f>
        <v>423700341.04188401</v>
      </c>
      <c r="G163" s="269">
        <f>Tasaus[[#This Row],[Verotettava tulo (kunnallisvero), €]]*($D$11/100)</f>
        <v>31226715.134786859</v>
      </c>
      <c r="H163" s="14">
        <v>2739634.9083046503</v>
      </c>
      <c r="I163" s="15">
        <v>3005432.1052000001</v>
      </c>
      <c r="J163" s="15">
        <f>SUM(Tasaus[[#This Row],[Laskennallinen kunnallisvero, €]:[Laskennallinen kiinteistövero, €]])</f>
        <v>36971782.148291506</v>
      </c>
      <c r="K163" s="15">
        <f>Tasaus[[#This Row],[Laskennallinen verotulo yhteensä, €]]/Tasaus[[#This Row],[Asukasluku 31.12.2022]]</f>
        <v>1895.4056263863174</v>
      </c>
      <c r="L163" s="34">
        <f>$K$11-Tasaus[[#This Row],[Laskennallinen verotulo yhteensä, €/asukas (=tasausraja)]]</f>
        <v>248.55437361368263</v>
      </c>
      <c r="M163" s="369">
        <f>IF(Tasaus[[#This Row],[Erotus = tasausraja - laskennallinen verotulo, €/asukas]]&gt;0,(Tasaus[[#This Row],[Erotus = tasausraja - laskennallinen verotulo, €/asukas]]*$B$7),(Tasaus[[#This Row],[Erotus = tasausraja - laskennallinen verotulo, €/asukas]]*$B$8))</f>
        <v>223.69893625231438</v>
      </c>
      <c r="N163" s="370">
        <f>Tasaus[[#This Row],[Tasaus,  €/asukas]]*Tasaus[[#This Row],[Asukasluku 31.12.2022]]</f>
        <v>4363471.4505376443</v>
      </c>
      <c r="P163" s="116"/>
      <c r="Q163" s="117"/>
      <c r="R163" s="118"/>
    </row>
    <row r="164" spans="1:18">
      <c r="A164" s="266">
        <v>500</v>
      </c>
      <c r="B164" s="13" t="s">
        <v>527</v>
      </c>
      <c r="C164" s="267">
        <v>10465</v>
      </c>
      <c r="D164" s="268">
        <v>6.8599999999999994</v>
      </c>
      <c r="E164" s="14">
        <v>16168257.617463769</v>
      </c>
      <c r="F164" s="14">
        <f>Tasaus[[#This Row],[Kunnallisvero (maksuunpantu), €]]*100/Tasaus[[#This Row],[Tuloveroprosentti 2023]]</f>
        <v>235688886.55195001</v>
      </c>
      <c r="G164" s="269">
        <f>Tasaus[[#This Row],[Verotettava tulo (kunnallisvero), €]]*($D$11/100)</f>
        <v>17370270.938878719</v>
      </c>
      <c r="H164" s="14">
        <v>2549418.6843479904</v>
      </c>
      <c r="I164" s="15">
        <v>1425438.8504000001</v>
      </c>
      <c r="J164" s="15">
        <f>SUM(Tasaus[[#This Row],[Laskennallinen kunnallisvero, €]:[Laskennallinen kiinteistövero, €]])</f>
        <v>21345128.47362671</v>
      </c>
      <c r="K164" s="15">
        <f>Tasaus[[#This Row],[Laskennallinen verotulo yhteensä, €]]/Tasaus[[#This Row],[Asukasluku 31.12.2022]]</f>
        <v>2039.6682726829156</v>
      </c>
      <c r="L164" s="34">
        <f>$K$11-Tasaus[[#This Row],[Laskennallinen verotulo yhteensä, €/asukas (=tasausraja)]]</f>
        <v>104.29172731708445</v>
      </c>
      <c r="M164" s="369">
        <f>IF(Tasaus[[#This Row],[Erotus = tasausraja - laskennallinen verotulo, €/asukas]]&gt;0,(Tasaus[[#This Row],[Erotus = tasausraja - laskennallinen verotulo, €/asukas]]*$B$7),(Tasaus[[#This Row],[Erotus = tasausraja - laskennallinen verotulo, €/asukas]]*$B$8))</f>
        <v>93.862554585376003</v>
      </c>
      <c r="N164" s="370">
        <f>Tasaus[[#This Row],[Tasaus,  €/asukas]]*Tasaus[[#This Row],[Asukasluku 31.12.2022]]</f>
        <v>982271.63373595988</v>
      </c>
      <c r="P164" s="116"/>
      <c r="Q164" s="117"/>
      <c r="R164" s="118"/>
    </row>
    <row r="165" spans="1:18">
      <c r="A165" s="266">
        <v>503</v>
      </c>
      <c r="B165" s="13" t="s">
        <v>528</v>
      </c>
      <c r="C165" s="267">
        <v>7546</v>
      </c>
      <c r="D165" s="268">
        <v>8.61</v>
      </c>
      <c r="E165" s="14">
        <v>12490052.851793159</v>
      </c>
      <c r="F165" s="14">
        <f>Tasaus[[#This Row],[Kunnallisvero (maksuunpantu), €]]*100/Tasaus[[#This Row],[Tuloveroprosentti 2023]]</f>
        <v>145064493.05218536</v>
      </c>
      <c r="G165" s="269">
        <f>Tasaus[[#This Row],[Verotettava tulo (kunnallisvero), €]]*($D$11/100)</f>
        <v>10691253.137946064</v>
      </c>
      <c r="H165" s="14">
        <v>1036045.9131582204</v>
      </c>
      <c r="I165" s="15">
        <v>1036261.3257500001</v>
      </c>
      <c r="J165" s="15">
        <f>SUM(Tasaus[[#This Row],[Laskennallinen kunnallisvero, €]:[Laskennallinen kiinteistövero, €]])</f>
        <v>12763560.376854286</v>
      </c>
      <c r="K165" s="15">
        <f>Tasaus[[#This Row],[Laskennallinen verotulo yhteensä, €]]/Tasaus[[#This Row],[Asukasluku 31.12.2022]]</f>
        <v>1691.4339221911325</v>
      </c>
      <c r="L165" s="34">
        <f>$K$11-Tasaus[[#This Row],[Laskennallinen verotulo yhteensä, €/asukas (=tasausraja)]]</f>
        <v>452.52607780886751</v>
      </c>
      <c r="M165" s="369">
        <f>IF(Tasaus[[#This Row],[Erotus = tasausraja - laskennallinen verotulo, €/asukas]]&gt;0,(Tasaus[[#This Row],[Erotus = tasausraja - laskennallinen verotulo, €/asukas]]*$B$7),(Tasaus[[#This Row],[Erotus = tasausraja - laskennallinen verotulo, €/asukas]]*$B$8))</f>
        <v>407.27347002798075</v>
      </c>
      <c r="N165" s="370">
        <f>Tasaus[[#This Row],[Tasaus,  €/asukas]]*Tasaus[[#This Row],[Asukasluku 31.12.2022]]</f>
        <v>3073285.6048311428</v>
      </c>
      <c r="P165" s="116"/>
      <c r="Q165" s="117"/>
      <c r="R165" s="118"/>
    </row>
    <row r="166" spans="1:18">
      <c r="A166" s="266">
        <v>504</v>
      </c>
      <c r="B166" s="13" t="s">
        <v>529</v>
      </c>
      <c r="C166" s="267">
        <v>1826</v>
      </c>
      <c r="D166" s="268">
        <v>8.86</v>
      </c>
      <c r="E166" s="14">
        <v>2819917.8453247901</v>
      </c>
      <c r="F166" s="14">
        <f>Tasaus[[#This Row],[Kunnallisvero (maksuunpantu), €]]*100/Tasaus[[#This Row],[Tuloveroprosentti 2023]]</f>
        <v>31827515.184252709</v>
      </c>
      <c r="G166" s="269">
        <f>Tasaus[[#This Row],[Verotettava tulo (kunnallisvero), €]]*($D$11/100)</f>
        <v>2345687.869079425</v>
      </c>
      <c r="H166" s="14">
        <v>352764.19091013231</v>
      </c>
      <c r="I166" s="15">
        <v>222459.12625000003</v>
      </c>
      <c r="J166" s="15">
        <f>SUM(Tasaus[[#This Row],[Laskennallinen kunnallisvero, €]:[Laskennallinen kiinteistövero, €]])</f>
        <v>2920911.1862395573</v>
      </c>
      <c r="K166" s="15">
        <f>Tasaus[[#This Row],[Laskennallinen verotulo yhteensä, €]]/Tasaus[[#This Row],[Asukasluku 31.12.2022]]</f>
        <v>1599.6227745014005</v>
      </c>
      <c r="L166" s="34">
        <f>$K$11-Tasaus[[#This Row],[Laskennallinen verotulo yhteensä, €/asukas (=tasausraja)]]</f>
        <v>544.33722549859954</v>
      </c>
      <c r="M166" s="369">
        <f>IF(Tasaus[[#This Row],[Erotus = tasausraja - laskennallinen verotulo, €/asukas]]&gt;0,(Tasaus[[#This Row],[Erotus = tasausraja - laskennallinen verotulo, €/asukas]]*$B$7),(Tasaus[[#This Row],[Erotus = tasausraja - laskennallinen verotulo, €/asukas]]*$B$8))</f>
        <v>489.90350294873957</v>
      </c>
      <c r="N166" s="370">
        <f>Tasaus[[#This Row],[Tasaus,  €/asukas]]*Tasaus[[#This Row],[Asukasluku 31.12.2022]]</f>
        <v>894563.79638439848</v>
      </c>
      <c r="P166" s="116"/>
      <c r="Q166" s="117"/>
      <c r="R166" s="118"/>
    </row>
    <row r="167" spans="1:18">
      <c r="A167" s="266">
        <v>505</v>
      </c>
      <c r="B167" s="13" t="s">
        <v>530</v>
      </c>
      <c r="C167" s="267">
        <v>20817</v>
      </c>
      <c r="D167" s="268">
        <v>8.36</v>
      </c>
      <c r="E167" s="14">
        <v>37671497.383568369</v>
      </c>
      <c r="F167" s="14">
        <f>Tasaus[[#This Row],[Kunnallisvero (maksuunpantu), €]]*100/Tasaus[[#This Row],[Tuloveroprosentti 2023]]</f>
        <v>450615997.41110492</v>
      </c>
      <c r="G167" s="269">
        <f>Tasaus[[#This Row],[Verotettava tulo (kunnallisvero), €]]*($D$11/100)</f>
        <v>33210399.009198438</v>
      </c>
      <c r="H167" s="14">
        <v>3533230.591615418</v>
      </c>
      <c r="I167" s="15">
        <v>3725279.5087000001</v>
      </c>
      <c r="J167" s="15">
        <f>SUM(Tasaus[[#This Row],[Laskennallinen kunnallisvero, €]:[Laskennallinen kiinteistövero, €]])</f>
        <v>40468909.109513856</v>
      </c>
      <c r="K167" s="15">
        <f>Tasaus[[#This Row],[Laskennallinen verotulo yhteensä, €]]/Tasaus[[#This Row],[Asukasluku 31.12.2022]]</f>
        <v>1944.0317581550587</v>
      </c>
      <c r="L167" s="34">
        <f>$K$11-Tasaus[[#This Row],[Laskennallinen verotulo yhteensä, €/asukas (=tasausraja)]]</f>
        <v>199.92824184494134</v>
      </c>
      <c r="M167" s="369">
        <f>IF(Tasaus[[#This Row],[Erotus = tasausraja - laskennallinen verotulo, €/asukas]]&gt;0,(Tasaus[[#This Row],[Erotus = tasausraja - laskennallinen verotulo, €/asukas]]*$B$7),(Tasaus[[#This Row],[Erotus = tasausraja - laskennallinen verotulo, €/asukas]]*$B$8))</f>
        <v>179.9354176604472</v>
      </c>
      <c r="N167" s="370">
        <f>Tasaus[[#This Row],[Tasaus,  €/asukas]]*Tasaus[[#This Row],[Asukasluku 31.12.2022]]</f>
        <v>3745715.5894375294</v>
      </c>
      <c r="P167" s="116"/>
      <c r="Q167" s="117"/>
      <c r="R167" s="118"/>
    </row>
    <row r="168" spans="1:18">
      <c r="A168" s="266">
        <v>507</v>
      </c>
      <c r="B168" s="13" t="s">
        <v>531</v>
      </c>
      <c r="C168" s="267">
        <v>5519</v>
      </c>
      <c r="D168" s="268">
        <v>8.11</v>
      </c>
      <c r="E168" s="14">
        <v>7685651.3567106696</v>
      </c>
      <c r="F168" s="14">
        <f>Tasaus[[#This Row],[Kunnallisvero (maksuunpantu), €]]*100/Tasaus[[#This Row],[Tuloveroprosentti 2023]]</f>
        <v>94767587.628984839</v>
      </c>
      <c r="G168" s="269">
        <f>Tasaus[[#This Row],[Verotettava tulo (kunnallisvero), €]]*($D$11/100)</f>
        <v>6984371.2082561841</v>
      </c>
      <c r="H168" s="14">
        <v>1904272.7491591056</v>
      </c>
      <c r="I168" s="15">
        <v>1564650.0968000002</v>
      </c>
      <c r="J168" s="15">
        <f>SUM(Tasaus[[#This Row],[Laskennallinen kunnallisvero, €]:[Laskennallinen kiinteistövero, €]])</f>
        <v>10453294.05421529</v>
      </c>
      <c r="K168" s="15">
        <f>Tasaus[[#This Row],[Laskennallinen verotulo yhteensä, €]]/Tasaus[[#This Row],[Asukasluku 31.12.2022]]</f>
        <v>1894.0558170348413</v>
      </c>
      <c r="L168" s="34">
        <f>$K$11-Tasaus[[#This Row],[Laskennallinen verotulo yhteensä, €/asukas (=tasausraja)]]</f>
        <v>249.90418296515872</v>
      </c>
      <c r="M168" s="369">
        <f>IF(Tasaus[[#This Row],[Erotus = tasausraja - laskennallinen verotulo, €/asukas]]&gt;0,(Tasaus[[#This Row],[Erotus = tasausraja - laskennallinen verotulo, €/asukas]]*$B$7),(Tasaus[[#This Row],[Erotus = tasausraja - laskennallinen verotulo, €/asukas]]*$B$8))</f>
        <v>224.91376466864287</v>
      </c>
      <c r="N168" s="370">
        <f>Tasaus[[#This Row],[Tasaus,  €/asukas]]*Tasaus[[#This Row],[Asukasluku 31.12.2022]]</f>
        <v>1241299.06720624</v>
      </c>
      <c r="P168" s="116"/>
      <c r="Q168" s="117"/>
      <c r="R168" s="118"/>
    </row>
    <row r="169" spans="1:18">
      <c r="A169" s="266">
        <v>508</v>
      </c>
      <c r="B169" s="13" t="s">
        <v>532</v>
      </c>
      <c r="C169" s="267">
        <v>9288</v>
      </c>
      <c r="D169" s="268">
        <v>9.8599999999999959</v>
      </c>
      <c r="E169" s="14">
        <v>17213340.72295747</v>
      </c>
      <c r="F169" s="14">
        <f>Tasaus[[#This Row],[Kunnallisvero (maksuunpantu), €]]*100/Tasaus[[#This Row],[Tuloveroprosentti 2023]]</f>
        <v>174577492.11924419</v>
      </c>
      <c r="G169" s="269">
        <f>Tasaus[[#This Row],[Verotettava tulo (kunnallisvero), €]]*($D$11/100)</f>
        <v>12866361.1691883</v>
      </c>
      <c r="H169" s="14">
        <v>3285463.8840912124</v>
      </c>
      <c r="I169" s="15">
        <v>1568703.6068</v>
      </c>
      <c r="J169" s="15">
        <f>SUM(Tasaus[[#This Row],[Laskennallinen kunnallisvero, €]:[Laskennallinen kiinteistövero, €]])</f>
        <v>17720528.660079513</v>
      </c>
      <c r="K169" s="15">
        <f>Tasaus[[#This Row],[Laskennallinen verotulo yhteensä, €]]/Tasaus[[#This Row],[Asukasluku 31.12.2022]]</f>
        <v>1907.8949892419803</v>
      </c>
      <c r="L169" s="34">
        <f>$K$11-Tasaus[[#This Row],[Laskennallinen verotulo yhteensä, €/asukas (=tasausraja)]]</f>
        <v>236.06501075801975</v>
      </c>
      <c r="M169" s="369">
        <f>IF(Tasaus[[#This Row],[Erotus = tasausraja - laskennallinen verotulo, €/asukas]]&gt;0,(Tasaus[[#This Row],[Erotus = tasausraja - laskennallinen verotulo, €/asukas]]*$B$7),(Tasaus[[#This Row],[Erotus = tasausraja - laskennallinen verotulo, €/asukas]]*$B$8))</f>
        <v>212.45850968221779</v>
      </c>
      <c r="N169" s="370">
        <f>Tasaus[[#This Row],[Tasaus,  €/asukas]]*Tasaus[[#This Row],[Asukasluku 31.12.2022]]</f>
        <v>1973314.6379284388</v>
      </c>
      <c r="P169" s="116"/>
      <c r="Q169" s="117"/>
      <c r="R169" s="118"/>
    </row>
    <row r="170" spans="1:18">
      <c r="A170" s="266">
        <v>529</v>
      </c>
      <c r="B170" s="13" t="s">
        <v>533</v>
      </c>
      <c r="C170" s="267">
        <v>19573</v>
      </c>
      <c r="D170" s="268">
        <v>6.3599999999999959</v>
      </c>
      <c r="E170" s="14">
        <v>31249159.10494196</v>
      </c>
      <c r="F170" s="14">
        <f>Tasaus[[#This Row],[Kunnallisvero (maksuunpantu), €]]*100/Tasaus[[#This Row],[Tuloveroprosentti 2023]]</f>
        <v>491338979.63745248</v>
      </c>
      <c r="G170" s="269">
        <f>Tasaus[[#This Row],[Verotettava tulo (kunnallisvero), €]]*($D$11/100)</f>
        <v>36211682.799280256</v>
      </c>
      <c r="H170" s="14">
        <v>7212913.1027599536</v>
      </c>
      <c r="I170" s="15">
        <v>4178636.5360000003</v>
      </c>
      <c r="J170" s="15">
        <f>SUM(Tasaus[[#This Row],[Laskennallinen kunnallisvero, €]:[Laskennallinen kiinteistövero, €]])</f>
        <v>47603232.438040212</v>
      </c>
      <c r="K170" s="15">
        <f>Tasaus[[#This Row],[Laskennallinen verotulo yhteensä, €]]/Tasaus[[#This Row],[Asukasluku 31.12.2022]]</f>
        <v>2432.0866723568288</v>
      </c>
      <c r="L170" s="34">
        <f>$K$11-Tasaus[[#This Row],[Laskennallinen verotulo yhteensä, €/asukas (=tasausraja)]]</f>
        <v>-288.12667235682875</v>
      </c>
      <c r="M170" s="369">
        <f>IF(Tasaus[[#This Row],[Erotus = tasausraja - laskennallinen verotulo, €/asukas]]&gt;0,(Tasaus[[#This Row],[Erotus = tasausraja - laskennallinen verotulo, €/asukas]]*$B$7),(Tasaus[[#This Row],[Erotus = tasausraja - laskennallinen verotulo, €/asukas]]*$B$8))</f>
        <v>-28.812667235682877</v>
      </c>
      <c r="N170" s="370">
        <f>Tasaus[[#This Row],[Tasaus,  €/asukas]]*Tasaus[[#This Row],[Asukasluku 31.12.2022]]</f>
        <v>-563950.33580402099</v>
      </c>
      <c r="P170" s="116"/>
      <c r="Q170" s="117"/>
      <c r="R170" s="118"/>
    </row>
    <row r="171" spans="1:18">
      <c r="A171" s="266">
        <v>531</v>
      </c>
      <c r="B171" s="13" t="s">
        <v>534</v>
      </c>
      <c r="C171" s="267">
        <v>5115</v>
      </c>
      <c r="D171" s="268">
        <v>8.61</v>
      </c>
      <c r="E171" s="14">
        <v>8772917.1597208381</v>
      </c>
      <c r="F171" s="14">
        <f>Tasaus[[#This Row],[Kunnallisvero (maksuunpantu), €]]*100/Tasaus[[#This Row],[Tuloveroprosentti 2023]]</f>
        <v>101892185.36261137</v>
      </c>
      <c r="G171" s="269">
        <f>Tasaus[[#This Row],[Verotettava tulo (kunnallisvero), €]]*($D$11/100)</f>
        <v>7509454.0612244597</v>
      </c>
      <c r="H171" s="14">
        <v>638931.14466477965</v>
      </c>
      <c r="I171" s="15">
        <v>619878.21580000012</v>
      </c>
      <c r="J171" s="15">
        <f>SUM(Tasaus[[#This Row],[Laskennallinen kunnallisvero, €]:[Laskennallinen kiinteistövero, €]])</f>
        <v>8768263.4216892384</v>
      </c>
      <c r="K171" s="15">
        <f>Tasaus[[#This Row],[Laskennallinen verotulo yhteensä, €]]/Tasaus[[#This Row],[Asukasluku 31.12.2022]]</f>
        <v>1714.2254978864592</v>
      </c>
      <c r="L171" s="34">
        <f>$K$11-Tasaus[[#This Row],[Laskennallinen verotulo yhteensä, €/asukas (=tasausraja)]]</f>
        <v>429.73450211354088</v>
      </c>
      <c r="M171" s="369">
        <f>IF(Tasaus[[#This Row],[Erotus = tasausraja - laskennallinen verotulo, €/asukas]]&gt;0,(Tasaus[[#This Row],[Erotus = tasausraja - laskennallinen verotulo, €/asukas]]*$B$7),(Tasaus[[#This Row],[Erotus = tasausraja - laskennallinen verotulo, €/asukas]]*$B$8))</f>
        <v>386.76105190218681</v>
      </c>
      <c r="N171" s="370">
        <f>Tasaus[[#This Row],[Tasaus,  €/asukas]]*Tasaus[[#This Row],[Asukasluku 31.12.2022]]</f>
        <v>1978282.7804796854</v>
      </c>
      <c r="P171" s="116"/>
      <c r="Q171" s="117"/>
      <c r="R171" s="118"/>
    </row>
    <row r="172" spans="1:18">
      <c r="A172" s="266">
        <v>535</v>
      </c>
      <c r="B172" s="13" t="s">
        <v>535</v>
      </c>
      <c r="C172" s="267">
        <v>10278</v>
      </c>
      <c r="D172" s="268">
        <v>9.36</v>
      </c>
      <c r="E172" s="14">
        <v>15156143.857994718</v>
      </c>
      <c r="F172" s="14">
        <f>Tasaus[[#This Row],[Kunnallisvero (maksuunpantu), €]]*100/Tasaus[[#This Row],[Tuloveroprosentti 2023]]</f>
        <v>161924613.86746496</v>
      </c>
      <c r="G172" s="269">
        <f>Tasaus[[#This Row],[Verotettava tulo (kunnallisvero), €]]*($D$11/100)</f>
        <v>11933844.042032169</v>
      </c>
      <c r="H172" s="14">
        <v>1454929.691814139</v>
      </c>
      <c r="I172" s="15">
        <v>1333576.0293500002</v>
      </c>
      <c r="J172" s="15">
        <f>SUM(Tasaus[[#This Row],[Laskennallinen kunnallisvero, €]:[Laskennallinen kiinteistövero, €]])</f>
        <v>14722349.763196308</v>
      </c>
      <c r="K172" s="15">
        <f>Tasaus[[#This Row],[Laskennallinen verotulo yhteensä, €]]/Tasaus[[#This Row],[Asukasluku 31.12.2022]]</f>
        <v>1432.4138707137874</v>
      </c>
      <c r="L172" s="34">
        <f>$K$11-Tasaus[[#This Row],[Laskennallinen verotulo yhteensä, €/asukas (=tasausraja)]]</f>
        <v>711.54612928621259</v>
      </c>
      <c r="M172" s="369">
        <f>IF(Tasaus[[#This Row],[Erotus = tasausraja - laskennallinen verotulo, €/asukas]]&gt;0,(Tasaus[[#This Row],[Erotus = tasausraja - laskennallinen verotulo, €/asukas]]*$B$7),(Tasaus[[#This Row],[Erotus = tasausraja - laskennallinen verotulo, €/asukas]]*$B$8))</f>
        <v>640.3915163575914</v>
      </c>
      <c r="N172" s="370">
        <f>Tasaus[[#This Row],[Tasaus,  €/asukas]]*Tasaus[[#This Row],[Asukasluku 31.12.2022]]</f>
        <v>6581944.0051233247</v>
      </c>
      <c r="P172" s="116"/>
      <c r="Q172" s="117"/>
      <c r="R172" s="118"/>
    </row>
    <row r="173" spans="1:18">
      <c r="A173" s="266">
        <v>536</v>
      </c>
      <c r="B173" s="13" t="s">
        <v>536</v>
      </c>
      <c r="C173" s="267">
        <v>35023</v>
      </c>
      <c r="D173" s="268">
        <v>8.36</v>
      </c>
      <c r="E173" s="14">
        <v>64688295.728699371</v>
      </c>
      <c r="F173" s="14">
        <f>Tasaus[[#This Row],[Kunnallisvero (maksuunpantu), €]]*100/Tasaus[[#This Row],[Tuloveroprosentti 2023]]</f>
        <v>773783441.7308538</v>
      </c>
      <c r="G173" s="269">
        <f>Tasaus[[#This Row],[Verotettava tulo (kunnallisvero), €]]*($D$11/100)</f>
        <v>57027839.655563936</v>
      </c>
      <c r="H173" s="14">
        <v>5969808.0147036202</v>
      </c>
      <c r="I173" s="15">
        <v>5210149.4044500003</v>
      </c>
      <c r="J173" s="15">
        <f>SUM(Tasaus[[#This Row],[Laskennallinen kunnallisvero, €]:[Laskennallinen kiinteistövero, €]])</f>
        <v>68207797.074717551</v>
      </c>
      <c r="K173" s="15">
        <f>Tasaus[[#This Row],[Laskennallinen verotulo yhteensä, €]]/Tasaus[[#This Row],[Asukasluku 31.12.2022]]</f>
        <v>1947.5144069530752</v>
      </c>
      <c r="L173" s="34">
        <f>$K$11-Tasaus[[#This Row],[Laskennallinen verotulo yhteensä, €/asukas (=tasausraja)]]</f>
        <v>196.44559304692484</v>
      </c>
      <c r="M173" s="369">
        <f>IF(Tasaus[[#This Row],[Erotus = tasausraja - laskennallinen verotulo, €/asukas]]&gt;0,(Tasaus[[#This Row],[Erotus = tasausraja - laskennallinen verotulo, €/asukas]]*$B$7),(Tasaus[[#This Row],[Erotus = tasausraja - laskennallinen verotulo, €/asukas]]*$B$8))</f>
        <v>176.80103374223236</v>
      </c>
      <c r="N173" s="370">
        <f>Tasaus[[#This Row],[Tasaus,  €/asukas]]*Tasaus[[#This Row],[Asukasluku 31.12.2022]]</f>
        <v>6192102.6047542039</v>
      </c>
      <c r="P173" s="116"/>
      <c r="Q173" s="117"/>
      <c r="R173" s="118"/>
    </row>
    <row r="174" spans="1:18">
      <c r="A174" s="266">
        <v>538</v>
      </c>
      <c r="B174" s="13" t="s">
        <v>537</v>
      </c>
      <c r="C174" s="267">
        <v>4649</v>
      </c>
      <c r="D174" s="268">
        <v>8.8599999999999959</v>
      </c>
      <c r="E174" s="14">
        <v>8407725.1981382091</v>
      </c>
      <c r="F174" s="14">
        <f>Tasaus[[#This Row],[Kunnallisvero (maksuunpantu), €]]*100/Tasaus[[#This Row],[Tuloveroprosentti 2023]]</f>
        <v>94895318.263410985</v>
      </c>
      <c r="G174" s="269">
        <f>Tasaus[[#This Row],[Verotettava tulo (kunnallisvero), €]]*($D$11/100)</f>
        <v>6993784.9560133908</v>
      </c>
      <c r="H174" s="14">
        <v>313161.52222747635</v>
      </c>
      <c r="I174" s="15">
        <v>512921.63725000003</v>
      </c>
      <c r="J174" s="15">
        <f>SUM(Tasaus[[#This Row],[Laskennallinen kunnallisvero, €]:[Laskennallinen kiinteistövero, €]])</f>
        <v>7819868.1154908668</v>
      </c>
      <c r="K174" s="15">
        <f>Tasaus[[#This Row],[Laskennallinen verotulo yhteensä, €]]/Tasaus[[#This Row],[Asukasluku 31.12.2022]]</f>
        <v>1682.0537998474654</v>
      </c>
      <c r="L174" s="34">
        <f>$K$11-Tasaus[[#This Row],[Laskennallinen verotulo yhteensä, €/asukas (=tasausraja)]]</f>
        <v>461.90620015253467</v>
      </c>
      <c r="M174" s="369">
        <f>IF(Tasaus[[#This Row],[Erotus = tasausraja - laskennallinen verotulo, €/asukas]]&gt;0,(Tasaus[[#This Row],[Erotus = tasausraja - laskennallinen verotulo, €/asukas]]*$B$7),(Tasaus[[#This Row],[Erotus = tasausraja - laskennallinen verotulo, €/asukas]]*$B$8))</f>
        <v>415.71558013728122</v>
      </c>
      <c r="N174" s="370">
        <f>Tasaus[[#This Row],[Tasaus,  €/asukas]]*Tasaus[[#This Row],[Asukasluku 31.12.2022]]</f>
        <v>1932661.7320582203</v>
      </c>
      <c r="P174" s="116"/>
      <c r="Q174" s="117"/>
      <c r="R174" s="118"/>
    </row>
    <row r="175" spans="1:18">
      <c r="A175" s="266">
        <v>541</v>
      </c>
      <c r="B175" s="13" t="s">
        <v>538</v>
      </c>
      <c r="C175" s="267">
        <v>9181</v>
      </c>
      <c r="D175" s="268">
        <v>7.8599999999999994</v>
      </c>
      <c r="E175" s="14">
        <v>11825607.620677199</v>
      </c>
      <c r="F175" s="14">
        <f>Tasaus[[#This Row],[Kunnallisvero (maksuunpantu), €]]*100/Tasaus[[#This Row],[Tuloveroprosentti 2023]]</f>
        <v>150453023.16383207</v>
      </c>
      <c r="G175" s="269">
        <f>Tasaus[[#This Row],[Verotettava tulo (kunnallisvero), €]]*($D$11/100)</f>
        <v>11088387.807174426</v>
      </c>
      <c r="H175" s="14">
        <v>2654347.5632627169</v>
      </c>
      <c r="I175" s="15">
        <v>1277108.9180000001</v>
      </c>
      <c r="J175" s="15">
        <f>SUM(Tasaus[[#This Row],[Laskennallinen kunnallisvero, €]:[Laskennallinen kiinteistövero, €]])</f>
        <v>15019844.288437141</v>
      </c>
      <c r="K175" s="15">
        <f>Tasaus[[#This Row],[Laskennallinen verotulo yhteensä, €]]/Tasaus[[#This Row],[Asukasluku 31.12.2022]]</f>
        <v>1635.9704050143928</v>
      </c>
      <c r="L175" s="34">
        <f>$K$11-Tasaus[[#This Row],[Laskennallinen verotulo yhteensä, €/asukas (=tasausraja)]]</f>
        <v>507.98959498560725</v>
      </c>
      <c r="M175" s="369">
        <f>IF(Tasaus[[#This Row],[Erotus = tasausraja - laskennallinen verotulo, €/asukas]]&gt;0,(Tasaus[[#This Row],[Erotus = tasausraja - laskennallinen verotulo, €/asukas]]*$B$7),(Tasaus[[#This Row],[Erotus = tasausraja - laskennallinen verotulo, €/asukas]]*$B$8))</f>
        <v>457.19063548704656</v>
      </c>
      <c r="N175" s="370">
        <f>Tasaus[[#This Row],[Tasaus,  €/asukas]]*Tasaus[[#This Row],[Asukasluku 31.12.2022]]</f>
        <v>4197467.2244065749</v>
      </c>
      <c r="P175" s="116"/>
      <c r="Q175" s="117"/>
      <c r="R175" s="118"/>
    </row>
    <row r="176" spans="1:18">
      <c r="A176" s="266">
        <v>543</v>
      </c>
      <c r="B176" s="13" t="s">
        <v>539</v>
      </c>
      <c r="C176" s="267">
        <v>44432</v>
      </c>
      <c r="D176" s="268">
        <v>7.1099999999999994</v>
      </c>
      <c r="E176" s="14">
        <v>79460549.941201583</v>
      </c>
      <c r="F176" s="14">
        <f>Tasaus[[#This Row],[Kunnallisvero (maksuunpantu), €]]*100/Tasaus[[#This Row],[Tuloveroprosentti 2023]]</f>
        <v>1117588606.7679548</v>
      </c>
      <c r="G176" s="269">
        <f>Tasaus[[#This Row],[Verotettava tulo (kunnallisvero), €]]*($D$11/100)</f>
        <v>82366280.318798289</v>
      </c>
      <c r="H176" s="14">
        <v>8472033.0931671783</v>
      </c>
      <c r="I176" s="15">
        <v>6902282.7506500008</v>
      </c>
      <c r="J176" s="15">
        <f>SUM(Tasaus[[#This Row],[Laskennallinen kunnallisvero, €]:[Laskennallinen kiinteistövero, €]])</f>
        <v>97740596.162615463</v>
      </c>
      <c r="K176" s="15">
        <f>Tasaus[[#This Row],[Laskennallinen verotulo yhteensä, €]]/Tasaus[[#This Row],[Asukasluku 31.12.2022]]</f>
        <v>2199.7793518773738</v>
      </c>
      <c r="L176" s="34">
        <f>$K$11-Tasaus[[#This Row],[Laskennallinen verotulo yhteensä, €/asukas (=tasausraja)]]</f>
        <v>-55.81935187737372</v>
      </c>
      <c r="M176" s="369">
        <f>IF(Tasaus[[#This Row],[Erotus = tasausraja - laskennallinen verotulo, €/asukas]]&gt;0,(Tasaus[[#This Row],[Erotus = tasausraja - laskennallinen verotulo, €/asukas]]*$B$7),(Tasaus[[#This Row],[Erotus = tasausraja - laskennallinen verotulo, €/asukas]]*$B$8))</f>
        <v>-5.581935187737372</v>
      </c>
      <c r="N176" s="370">
        <f>Tasaus[[#This Row],[Tasaus,  €/asukas]]*Tasaus[[#This Row],[Asukasluku 31.12.2022]]</f>
        <v>-248016.54426154692</v>
      </c>
      <c r="P176" s="116"/>
      <c r="Q176" s="117"/>
      <c r="R176" s="118"/>
    </row>
    <row r="177" spans="1:18">
      <c r="A177" s="266">
        <v>545</v>
      </c>
      <c r="B177" s="13" t="s">
        <v>540</v>
      </c>
      <c r="C177" s="267">
        <v>9591</v>
      </c>
      <c r="D177" s="268">
        <v>8.36</v>
      </c>
      <c r="E177" s="14">
        <v>13951814.29485319</v>
      </c>
      <c r="F177" s="14">
        <f>Tasaus[[#This Row],[Kunnallisvero (maksuunpantu), €]]*100/Tasaus[[#This Row],[Tuloveroprosentti 2023]]</f>
        <v>166887730.79967931</v>
      </c>
      <c r="G177" s="269">
        <f>Tasaus[[#This Row],[Verotettava tulo (kunnallisvero), €]]*($D$11/100)</f>
        <v>12299625.759936368</v>
      </c>
      <c r="H177" s="14">
        <v>2742596.7034860244</v>
      </c>
      <c r="I177" s="15">
        <v>2146451.9909000001</v>
      </c>
      <c r="J177" s="15">
        <f>SUM(Tasaus[[#This Row],[Laskennallinen kunnallisvero, €]:[Laskennallinen kiinteistövero, €]])</f>
        <v>17188674.45432239</v>
      </c>
      <c r="K177" s="15">
        <f>Tasaus[[#This Row],[Laskennallinen verotulo yhteensä, €]]/Tasaus[[#This Row],[Asukasluku 31.12.2022]]</f>
        <v>1792.1670789617756</v>
      </c>
      <c r="L177" s="34">
        <f>$K$11-Tasaus[[#This Row],[Laskennallinen verotulo yhteensä, €/asukas (=tasausraja)]]</f>
        <v>351.79292103822445</v>
      </c>
      <c r="M177" s="369">
        <f>IF(Tasaus[[#This Row],[Erotus = tasausraja - laskennallinen verotulo, €/asukas]]&gt;0,(Tasaus[[#This Row],[Erotus = tasausraja - laskennallinen verotulo, €/asukas]]*$B$7),(Tasaus[[#This Row],[Erotus = tasausraja - laskennallinen verotulo, €/asukas]]*$B$8))</f>
        <v>316.61362893440202</v>
      </c>
      <c r="N177" s="370">
        <f>Tasaus[[#This Row],[Tasaus,  €/asukas]]*Tasaus[[#This Row],[Asukasluku 31.12.2022]]</f>
        <v>3036641.3151098499</v>
      </c>
      <c r="P177" s="116"/>
      <c r="Q177" s="117"/>
      <c r="R177" s="118"/>
    </row>
    <row r="178" spans="1:18">
      <c r="A178" s="266">
        <v>560</v>
      </c>
      <c r="B178" s="13" t="s">
        <v>541</v>
      </c>
      <c r="C178" s="267">
        <v>15708</v>
      </c>
      <c r="D178" s="268">
        <v>8.6099999999999959</v>
      </c>
      <c r="E178" s="14">
        <v>25292908.019431148</v>
      </c>
      <c r="F178" s="14">
        <f>Tasaus[[#This Row],[Kunnallisvero (maksuunpantu), €]]*100/Tasaus[[#This Row],[Tuloveroprosentti 2023]]</f>
        <v>293761997.90280092</v>
      </c>
      <c r="G178" s="269">
        <f>Tasaus[[#This Row],[Verotettava tulo (kunnallisvero), €]]*($D$11/100)</f>
        <v>21650259.245436434</v>
      </c>
      <c r="H178" s="14">
        <v>2494479.0435190946</v>
      </c>
      <c r="I178" s="15">
        <v>2297622.9325999999</v>
      </c>
      <c r="J178" s="15">
        <f>SUM(Tasaus[[#This Row],[Laskennallinen kunnallisvero, €]:[Laskennallinen kiinteistövero, €]])</f>
        <v>26442361.221555527</v>
      </c>
      <c r="K178" s="15">
        <f>Tasaus[[#This Row],[Laskennallinen verotulo yhteensä, €]]/Tasaus[[#This Row],[Asukasluku 31.12.2022]]</f>
        <v>1683.3690617236775</v>
      </c>
      <c r="L178" s="34">
        <f>$K$11-Tasaus[[#This Row],[Laskennallinen verotulo yhteensä, €/asukas (=tasausraja)]]</f>
        <v>460.5909382763225</v>
      </c>
      <c r="M178" s="369">
        <f>IF(Tasaus[[#This Row],[Erotus = tasausraja - laskennallinen verotulo, €/asukas]]&gt;0,(Tasaus[[#This Row],[Erotus = tasausraja - laskennallinen verotulo, €/asukas]]*$B$7),(Tasaus[[#This Row],[Erotus = tasausraja - laskennallinen verotulo, €/asukas]]*$B$8))</f>
        <v>414.53184444869026</v>
      </c>
      <c r="N178" s="370">
        <f>Tasaus[[#This Row],[Tasaus,  €/asukas]]*Tasaus[[#This Row],[Asukasluku 31.12.2022]]</f>
        <v>6511466.2126000263</v>
      </c>
      <c r="P178" s="116"/>
      <c r="Q178" s="117"/>
      <c r="R178" s="118"/>
    </row>
    <row r="179" spans="1:18">
      <c r="A179" s="266">
        <v>561</v>
      </c>
      <c r="B179" s="13" t="s">
        <v>542</v>
      </c>
      <c r="C179" s="267">
        <v>1322</v>
      </c>
      <c r="D179" s="268">
        <v>8.36</v>
      </c>
      <c r="E179" s="14">
        <v>1859019.48091321</v>
      </c>
      <c r="F179" s="14">
        <f>Tasaus[[#This Row],[Kunnallisvero (maksuunpantu), €]]*100/Tasaus[[#This Row],[Tuloveroprosentti 2023]]</f>
        <v>22237075.130540788</v>
      </c>
      <c r="G179" s="269">
        <f>Tasaus[[#This Row],[Verotettava tulo (kunnallisvero), €]]*($D$11/100)</f>
        <v>1638872.4371208565</v>
      </c>
      <c r="H179" s="14">
        <v>472763.36975240259</v>
      </c>
      <c r="I179" s="15">
        <v>234837.66564999998</v>
      </c>
      <c r="J179" s="15">
        <f>SUM(Tasaus[[#This Row],[Laskennallinen kunnallisvero, €]:[Laskennallinen kiinteistövero, €]])</f>
        <v>2346473.472523259</v>
      </c>
      <c r="K179" s="15">
        <f>Tasaus[[#This Row],[Laskennallinen verotulo yhteensä, €]]/Tasaus[[#This Row],[Asukasluku 31.12.2022]]</f>
        <v>1774.9421123473971</v>
      </c>
      <c r="L179" s="34">
        <f>$K$11-Tasaus[[#This Row],[Laskennallinen verotulo yhteensä, €/asukas (=tasausraja)]]</f>
        <v>369.01788765260289</v>
      </c>
      <c r="M179" s="369">
        <f>IF(Tasaus[[#This Row],[Erotus = tasausraja - laskennallinen verotulo, €/asukas]]&gt;0,(Tasaus[[#This Row],[Erotus = tasausraja - laskennallinen verotulo, €/asukas]]*$B$7),(Tasaus[[#This Row],[Erotus = tasausraja - laskennallinen verotulo, €/asukas]]*$B$8))</f>
        <v>332.11609888734262</v>
      </c>
      <c r="N179" s="370">
        <f>Tasaus[[#This Row],[Tasaus,  €/asukas]]*Tasaus[[#This Row],[Asukasluku 31.12.2022]]</f>
        <v>439057.48272906692</v>
      </c>
      <c r="P179" s="116"/>
      <c r="Q179" s="117"/>
      <c r="R179" s="118"/>
    </row>
    <row r="180" spans="1:18">
      <c r="A180" s="266">
        <v>562</v>
      </c>
      <c r="B180" s="13" t="s">
        <v>180</v>
      </c>
      <c r="C180" s="267">
        <v>8838</v>
      </c>
      <c r="D180" s="268">
        <v>9.36</v>
      </c>
      <c r="E180" s="14">
        <v>15129407.073273359</v>
      </c>
      <c r="F180" s="14">
        <f>Tasaus[[#This Row],[Kunnallisvero (maksuunpantu), €]]*100/Tasaus[[#This Row],[Tuloveroprosentti 2023]]</f>
        <v>161638964.4580487</v>
      </c>
      <c r="G180" s="269">
        <f>Tasaus[[#This Row],[Verotettava tulo (kunnallisvero), €]]*($D$11/100)</f>
        <v>11912791.680558192</v>
      </c>
      <c r="H180" s="14">
        <v>1668024.0315510097</v>
      </c>
      <c r="I180" s="15">
        <v>1494399.9551500001</v>
      </c>
      <c r="J180" s="15">
        <f>SUM(Tasaus[[#This Row],[Laskennallinen kunnallisvero, €]:[Laskennallinen kiinteistövero, €]])</f>
        <v>15075215.667259201</v>
      </c>
      <c r="K180" s="15">
        <f>Tasaus[[#This Row],[Laskennallinen verotulo yhteensä, €]]/Tasaus[[#This Row],[Asukasluku 31.12.2022]]</f>
        <v>1705.727049927495</v>
      </c>
      <c r="L180" s="34">
        <f>$K$11-Tasaus[[#This Row],[Laskennallinen verotulo yhteensä, €/asukas (=tasausraja)]]</f>
        <v>438.23295007250499</v>
      </c>
      <c r="M180" s="369">
        <f>IF(Tasaus[[#This Row],[Erotus = tasausraja - laskennallinen verotulo, €/asukas]]&gt;0,(Tasaus[[#This Row],[Erotus = tasausraja - laskennallinen verotulo, €/asukas]]*$B$7),(Tasaus[[#This Row],[Erotus = tasausraja - laskennallinen verotulo, €/asukas]]*$B$8))</f>
        <v>394.40965506525453</v>
      </c>
      <c r="N180" s="370">
        <f>Tasaus[[#This Row],[Tasaus,  €/asukas]]*Tasaus[[#This Row],[Asukasluku 31.12.2022]]</f>
        <v>3485792.5314667197</v>
      </c>
      <c r="P180" s="116"/>
      <c r="Q180" s="117"/>
      <c r="R180" s="118"/>
    </row>
    <row r="181" spans="1:18">
      <c r="A181" s="266">
        <v>563</v>
      </c>
      <c r="B181" s="13" t="s">
        <v>543</v>
      </c>
      <c r="C181" s="267">
        <v>6984</v>
      </c>
      <c r="D181" s="268">
        <v>9.36</v>
      </c>
      <c r="E181" s="14">
        <v>11147974.65115138</v>
      </c>
      <c r="F181" s="14">
        <f>Tasaus[[#This Row],[Kunnallisvero (maksuunpantu), €]]*100/Tasaus[[#This Row],[Tuloveroprosentti 2023]]</f>
        <v>119102293.28153186</v>
      </c>
      <c r="G181" s="269">
        <f>Tasaus[[#This Row],[Verotettava tulo (kunnallisvero), €]]*($D$11/100)</f>
        <v>8777839.0148488991</v>
      </c>
      <c r="H181" s="14">
        <v>1612035.0373857489</v>
      </c>
      <c r="I181" s="15">
        <v>940519.66799999995</v>
      </c>
      <c r="J181" s="15">
        <f>SUM(Tasaus[[#This Row],[Laskennallinen kunnallisvero, €]:[Laskennallinen kiinteistövero, €]])</f>
        <v>11330393.720234647</v>
      </c>
      <c r="K181" s="15">
        <f>Tasaus[[#This Row],[Laskennallinen verotulo yhteensä, €]]/Tasaus[[#This Row],[Asukasluku 31.12.2022]]</f>
        <v>1622.3358705948808</v>
      </c>
      <c r="L181" s="34">
        <f>$K$11-Tasaus[[#This Row],[Laskennallinen verotulo yhteensä, €/asukas (=tasausraja)]]</f>
        <v>521.62412940511922</v>
      </c>
      <c r="M181" s="369">
        <f>IF(Tasaus[[#This Row],[Erotus = tasausraja - laskennallinen verotulo, €/asukas]]&gt;0,(Tasaus[[#This Row],[Erotus = tasausraja - laskennallinen verotulo, €/asukas]]*$B$7),(Tasaus[[#This Row],[Erotus = tasausraja - laskennallinen verotulo, €/asukas]]*$B$8))</f>
        <v>469.46171646460732</v>
      </c>
      <c r="N181" s="370">
        <f>Tasaus[[#This Row],[Tasaus,  €/asukas]]*Tasaus[[#This Row],[Asukasluku 31.12.2022]]</f>
        <v>3278720.6277888175</v>
      </c>
      <c r="P181" s="116"/>
      <c r="Q181" s="117"/>
      <c r="R181" s="118"/>
    </row>
    <row r="182" spans="1:18">
      <c r="A182" s="266">
        <v>564</v>
      </c>
      <c r="B182" s="13" t="s">
        <v>544</v>
      </c>
      <c r="C182" s="267">
        <v>211406</v>
      </c>
      <c r="D182" s="268">
        <v>7.8599999999999994</v>
      </c>
      <c r="E182" s="14">
        <v>353490011.5912891</v>
      </c>
      <c r="F182" s="14">
        <f>Tasaus[[#This Row],[Kunnallisvero (maksuunpantu), €]]*100/Tasaus[[#This Row],[Tuloveroprosentti 2023]]</f>
        <v>4497328391.7466812</v>
      </c>
      <c r="G182" s="269">
        <f>Tasaus[[#This Row],[Verotettava tulo (kunnallisvero), €]]*($D$11/100)</f>
        <v>331453102.47173047</v>
      </c>
      <c r="H182" s="14">
        <v>46897072.278702311</v>
      </c>
      <c r="I182" s="15">
        <v>34084393.226950005</v>
      </c>
      <c r="J182" s="15">
        <f>SUM(Tasaus[[#This Row],[Laskennallinen kunnallisvero, €]:[Laskennallinen kiinteistövero, €]])</f>
        <v>412434567.97738278</v>
      </c>
      <c r="K182" s="15">
        <f>Tasaus[[#This Row],[Laskennallinen verotulo yhteensä, €]]/Tasaus[[#This Row],[Asukasluku 31.12.2022]]</f>
        <v>1950.9123108018825</v>
      </c>
      <c r="L182" s="34">
        <f>$K$11-Tasaus[[#This Row],[Laskennallinen verotulo yhteensä, €/asukas (=tasausraja)]]</f>
        <v>193.0476891981175</v>
      </c>
      <c r="M182" s="369">
        <f>IF(Tasaus[[#This Row],[Erotus = tasausraja - laskennallinen verotulo, €/asukas]]&gt;0,(Tasaus[[#This Row],[Erotus = tasausraja - laskennallinen verotulo, €/asukas]]*$B$7),(Tasaus[[#This Row],[Erotus = tasausraja - laskennallinen verotulo, €/asukas]]*$B$8))</f>
        <v>173.74292027830575</v>
      </c>
      <c r="N182" s="370">
        <f>Tasaus[[#This Row],[Tasaus,  €/asukas]]*Tasaus[[#This Row],[Asukasluku 31.12.2022]]</f>
        <v>36730295.804355502</v>
      </c>
      <c r="P182" s="116"/>
      <c r="Q182" s="117"/>
      <c r="R182" s="118"/>
    </row>
    <row r="183" spans="1:18">
      <c r="A183" s="266">
        <v>576</v>
      </c>
      <c r="B183" s="13" t="s">
        <v>545</v>
      </c>
      <c r="C183" s="267">
        <v>2764</v>
      </c>
      <c r="D183" s="268">
        <v>8.36</v>
      </c>
      <c r="E183" s="14">
        <v>3582729.1526622404</v>
      </c>
      <c r="F183" s="14">
        <f>Tasaus[[#This Row],[Kunnallisvero (maksuunpantu), €]]*100/Tasaus[[#This Row],[Tuloveroprosentti 2023]]</f>
        <v>42855611.873950243</v>
      </c>
      <c r="G183" s="269">
        <f>Tasaus[[#This Row],[Verotettava tulo (kunnallisvero), €]]*($D$11/100)</f>
        <v>3158458.5951101338</v>
      </c>
      <c r="H183" s="14">
        <v>848252.42290627467</v>
      </c>
      <c r="I183" s="15">
        <v>846166.25695000007</v>
      </c>
      <c r="J183" s="15">
        <f>SUM(Tasaus[[#This Row],[Laskennallinen kunnallisvero, €]:[Laskennallinen kiinteistövero, €]])</f>
        <v>4852877.2749664085</v>
      </c>
      <c r="K183" s="15">
        <f>Tasaus[[#This Row],[Laskennallinen verotulo yhteensä, €]]/Tasaus[[#This Row],[Asukasluku 31.12.2022]]</f>
        <v>1755.744310769323</v>
      </c>
      <c r="L183" s="34">
        <f>$K$11-Tasaus[[#This Row],[Laskennallinen verotulo yhteensä, €/asukas (=tasausraja)]]</f>
        <v>388.21568923067707</v>
      </c>
      <c r="M183" s="369">
        <f>IF(Tasaus[[#This Row],[Erotus = tasausraja - laskennallinen verotulo, €/asukas]]&gt;0,(Tasaus[[#This Row],[Erotus = tasausraja - laskennallinen verotulo, €/asukas]]*$B$7),(Tasaus[[#This Row],[Erotus = tasausraja - laskennallinen verotulo, €/asukas]]*$B$8))</f>
        <v>349.3941203076094</v>
      </c>
      <c r="N183" s="370">
        <f>Tasaus[[#This Row],[Tasaus,  €/asukas]]*Tasaus[[#This Row],[Asukasluku 31.12.2022]]</f>
        <v>965725.34853023232</v>
      </c>
      <c r="P183" s="116"/>
      <c r="Q183" s="117"/>
      <c r="R183" s="118"/>
    </row>
    <row r="184" spans="1:18">
      <c r="A184" s="266">
        <v>577</v>
      </c>
      <c r="B184" s="13" t="s">
        <v>546</v>
      </c>
      <c r="C184" s="267">
        <v>11023</v>
      </c>
      <c r="D184" s="268">
        <v>8.11</v>
      </c>
      <c r="E184" s="14">
        <v>19392930.639600769</v>
      </c>
      <c r="F184" s="14">
        <f>Tasaus[[#This Row],[Kunnallisvero (maksuunpantu), €]]*100/Tasaus[[#This Row],[Tuloveroprosentti 2023]]</f>
        <v>239123682.3625249</v>
      </c>
      <c r="G184" s="269">
        <f>Tasaus[[#This Row],[Verotettava tulo (kunnallisvero), €]]*($D$11/100)</f>
        <v>17623415.390118089</v>
      </c>
      <c r="H184" s="14">
        <v>2050749.0122102611</v>
      </c>
      <c r="I184" s="15">
        <v>1448121.8840999999</v>
      </c>
      <c r="J184" s="15">
        <f>SUM(Tasaus[[#This Row],[Laskennallinen kunnallisvero, €]:[Laskennallinen kiinteistövero, €]])</f>
        <v>21122286.286428351</v>
      </c>
      <c r="K184" s="15">
        <f>Tasaus[[#This Row],[Laskennallinen verotulo yhteensä, €]]/Tasaus[[#This Row],[Asukasluku 31.12.2022]]</f>
        <v>1916.201241624635</v>
      </c>
      <c r="L184" s="34">
        <f>$K$11-Tasaus[[#This Row],[Laskennallinen verotulo yhteensä, €/asukas (=tasausraja)]]</f>
        <v>227.75875837536501</v>
      </c>
      <c r="M184" s="369">
        <f>IF(Tasaus[[#This Row],[Erotus = tasausraja - laskennallinen verotulo, €/asukas]]&gt;0,(Tasaus[[#This Row],[Erotus = tasausraja - laskennallinen verotulo, €/asukas]]*$B$7),(Tasaus[[#This Row],[Erotus = tasausraja - laskennallinen verotulo, €/asukas]]*$B$8))</f>
        <v>204.98288253782852</v>
      </c>
      <c r="N184" s="370">
        <f>Tasaus[[#This Row],[Tasaus,  €/asukas]]*Tasaus[[#This Row],[Asukasluku 31.12.2022]]</f>
        <v>2259526.3142144838</v>
      </c>
      <c r="P184" s="116"/>
      <c r="Q184" s="117"/>
      <c r="R184" s="118"/>
    </row>
    <row r="185" spans="1:18">
      <c r="A185" s="266">
        <v>578</v>
      </c>
      <c r="B185" s="13" t="s">
        <v>547</v>
      </c>
      <c r="C185" s="267">
        <v>3137</v>
      </c>
      <c r="D185" s="268">
        <v>9.36</v>
      </c>
      <c r="E185" s="14">
        <v>4613811.5769673893</v>
      </c>
      <c r="F185" s="14">
        <f>Tasaus[[#This Row],[Kunnallisvero (maksuunpantu), €]]*100/Tasaus[[#This Row],[Tuloveroprosentti 2023]]</f>
        <v>49292858.728284083</v>
      </c>
      <c r="G185" s="269">
        <f>Tasaus[[#This Row],[Verotettava tulo (kunnallisvero), €]]*($D$11/100)</f>
        <v>3632883.6882745377</v>
      </c>
      <c r="H185" s="14">
        <v>473630.88435596321</v>
      </c>
      <c r="I185" s="15">
        <v>509164.87685000006</v>
      </c>
      <c r="J185" s="15">
        <f>SUM(Tasaus[[#This Row],[Laskennallinen kunnallisvero, €]:[Laskennallinen kiinteistövero, €]])</f>
        <v>4615679.449480501</v>
      </c>
      <c r="K185" s="15">
        <f>Tasaus[[#This Row],[Laskennallinen verotulo yhteensä, €]]/Tasaus[[#This Row],[Asukasluku 31.12.2022]]</f>
        <v>1471.3673731209758</v>
      </c>
      <c r="L185" s="34">
        <f>$K$11-Tasaus[[#This Row],[Laskennallinen verotulo yhteensä, €/asukas (=tasausraja)]]</f>
        <v>672.59262687902424</v>
      </c>
      <c r="M185" s="369">
        <f>IF(Tasaus[[#This Row],[Erotus = tasausraja - laskennallinen verotulo, €/asukas]]&gt;0,(Tasaus[[#This Row],[Erotus = tasausraja - laskennallinen verotulo, €/asukas]]*$B$7),(Tasaus[[#This Row],[Erotus = tasausraja - laskennallinen verotulo, €/asukas]]*$B$8))</f>
        <v>605.33336419112186</v>
      </c>
      <c r="N185" s="370">
        <f>Tasaus[[#This Row],[Tasaus,  €/asukas]]*Tasaus[[#This Row],[Asukasluku 31.12.2022]]</f>
        <v>1898930.7634675493</v>
      </c>
      <c r="P185" s="116"/>
      <c r="Q185" s="117"/>
      <c r="R185" s="118"/>
    </row>
    <row r="186" spans="1:18">
      <c r="A186" s="266">
        <v>580</v>
      </c>
      <c r="B186" s="13" t="s">
        <v>548</v>
      </c>
      <c r="C186" s="267">
        <v>4463</v>
      </c>
      <c r="D186" s="268">
        <v>7.8599999999999994</v>
      </c>
      <c r="E186" s="14">
        <v>6341856.9435361</v>
      </c>
      <c r="F186" s="14">
        <f>Tasaus[[#This Row],[Kunnallisvero (maksuunpantu), €]]*100/Tasaus[[#This Row],[Tuloveroprosentti 2023]]</f>
        <v>80685202.843970746</v>
      </c>
      <c r="G186" s="269">
        <f>Tasaus[[#This Row],[Verotettava tulo (kunnallisvero), €]]*($D$11/100)</f>
        <v>5946499.4496006453</v>
      </c>
      <c r="H186" s="14">
        <v>932548.87594886019</v>
      </c>
      <c r="I186" s="15">
        <v>778094.28249999997</v>
      </c>
      <c r="J186" s="15">
        <f>SUM(Tasaus[[#This Row],[Laskennallinen kunnallisvero, €]:[Laskennallinen kiinteistövero, €]])</f>
        <v>7657142.6080495054</v>
      </c>
      <c r="K186" s="15">
        <f>Tasaus[[#This Row],[Laskennallinen verotulo yhteensä, €]]/Tasaus[[#This Row],[Asukasluku 31.12.2022]]</f>
        <v>1715.6940640935481</v>
      </c>
      <c r="L186" s="34">
        <f>$K$11-Tasaus[[#This Row],[Laskennallinen verotulo yhteensä, €/asukas (=tasausraja)]]</f>
        <v>428.26593590645189</v>
      </c>
      <c r="M186" s="369">
        <f>IF(Tasaus[[#This Row],[Erotus = tasausraja - laskennallinen verotulo, €/asukas]]&gt;0,(Tasaus[[#This Row],[Erotus = tasausraja - laskennallinen verotulo, €/asukas]]*$B$7),(Tasaus[[#This Row],[Erotus = tasausraja - laskennallinen verotulo, €/asukas]]*$B$8))</f>
        <v>385.4393423158067</v>
      </c>
      <c r="N186" s="370">
        <f>Tasaus[[#This Row],[Tasaus,  €/asukas]]*Tasaus[[#This Row],[Asukasluku 31.12.2022]]</f>
        <v>1720215.7847554453</v>
      </c>
      <c r="P186" s="116"/>
      <c r="Q186" s="117"/>
      <c r="R186" s="118"/>
    </row>
    <row r="187" spans="1:18">
      <c r="A187" s="266">
        <v>581</v>
      </c>
      <c r="B187" s="13" t="s">
        <v>549</v>
      </c>
      <c r="C187" s="267">
        <v>6188</v>
      </c>
      <c r="D187" s="268">
        <v>9.3599999999999959</v>
      </c>
      <c r="E187" s="14">
        <v>9557587.5951075088</v>
      </c>
      <c r="F187" s="14">
        <f>Tasaus[[#This Row],[Kunnallisvero (maksuunpantu), €]]*100/Tasaus[[#This Row],[Tuloveroprosentti 2023]]</f>
        <v>102110978.58020848</v>
      </c>
      <c r="G187" s="269">
        <f>Tasaus[[#This Row],[Verotettava tulo (kunnallisvero), €]]*($D$11/100)</f>
        <v>7525579.1213613665</v>
      </c>
      <c r="H187" s="14">
        <v>2101189.5275569153</v>
      </c>
      <c r="I187" s="15">
        <v>1108475.6838500001</v>
      </c>
      <c r="J187" s="15">
        <f>SUM(Tasaus[[#This Row],[Laskennallinen kunnallisvero, €]:[Laskennallinen kiinteistövero, €]])</f>
        <v>10735244.332768282</v>
      </c>
      <c r="K187" s="15">
        <f>Tasaus[[#This Row],[Laskennallinen verotulo yhteensä, €]]/Tasaus[[#This Row],[Asukasluku 31.12.2022]]</f>
        <v>1734.8487932721853</v>
      </c>
      <c r="L187" s="34">
        <f>$K$11-Tasaus[[#This Row],[Laskennallinen verotulo yhteensä, €/asukas (=tasausraja)]]</f>
        <v>409.11120672781476</v>
      </c>
      <c r="M187" s="369">
        <f>IF(Tasaus[[#This Row],[Erotus = tasausraja - laskennallinen verotulo, €/asukas]]&gt;0,(Tasaus[[#This Row],[Erotus = tasausraja - laskennallinen verotulo, €/asukas]]*$B$7),(Tasaus[[#This Row],[Erotus = tasausraja - laskennallinen verotulo, €/asukas]]*$B$8))</f>
        <v>368.2000860550333</v>
      </c>
      <c r="N187" s="370">
        <f>Tasaus[[#This Row],[Tasaus,  €/asukas]]*Tasaus[[#This Row],[Asukasluku 31.12.2022]]</f>
        <v>2278422.1325085461</v>
      </c>
      <c r="P187" s="116"/>
      <c r="Q187" s="117"/>
      <c r="R187" s="118"/>
    </row>
    <row r="188" spans="1:18">
      <c r="A188" s="266">
        <v>583</v>
      </c>
      <c r="B188" s="13" t="s">
        <v>550</v>
      </c>
      <c r="C188" s="267">
        <v>924</v>
      </c>
      <c r="D188" s="268">
        <v>9.61</v>
      </c>
      <c r="E188" s="14">
        <v>1496898.6364945201</v>
      </c>
      <c r="F188" s="14">
        <f>Tasaus[[#This Row],[Kunnallisvero (maksuunpantu), €]]*100/Tasaus[[#This Row],[Tuloveroprosentti 2023]]</f>
        <v>15576468.64198252</v>
      </c>
      <c r="G188" s="269">
        <f>Tasaus[[#This Row],[Verotettava tulo (kunnallisvero), €]]*($D$11/100)</f>
        <v>1147985.7389141119</v>
      </c>
      <c r="H188" s="14">
        <v>231570.70412299421</v>
      </c>
      <c r="I188" s="15">
        <v>461400.61039999995</v>
      </c>
      <c r="J188" s="15">
        <f>SUM(Tasaus[[#This Row],[Laskennallinen kunnallisvero, €]:[Laskennallinen kiinteistövero, €]])</f>
        <v>1840957.0534371061</v>
      </c>
      <c r="K188" s="15">
        <f>Tasaus[[#This Row],[Laskennallinen verotulo yhteensä, €]]/Tasaus[[#This Row],[Asukasluku 31.12.2022]]</f>
        <v>1992.3777634600715</v>
      </c>
      <c r="L188" s="34">
        <f>$K$11-Tasaus[[#This Row],[Laskennallinen verotulo yhteensä, €/asukas (=tasausraja)]]</f>
        <v>151.58223653992854</v>
      </c>
      <c r="M188" s="369">
        <f>IF(Tasaus[[#This Row],[Erotus = tasausraja - laskennallinen verotulo, €/asukas]]&gt;0,(Tasaus[[#This Row],[Erotus = tasausraja - laskennallinen verotulo, €/asukas]]*$B$7),(Tasaus[[#This Row],[Erotus = tasausraja - laskennallinen verotulo, €/asukas]]*$B$8))</f>
        <v>136.4240128859357</v>
      </c>
      <c r="N188" s="370">
        <f>Tasaus[[#This Row],[Tasaus,  €/asukas]]*Tasaus[[#This Row],[Asukasluku 31.12.2022]]</f>
        <v>126055.78790660459</v>
      </c>
      <c r="P188" s="116"/>
      <c r="Q188" s="117"/>
      <c r="R188" s="118"/>
    </row>
    <row r="189" spans="1:18">
      <c r="A189" s="266">
        <v>584</v>
      </c>
      <c r="B189" s="13" t="s">
        <v>551</v>
      </c>
      <c r="C189" s="267">
        <v>2603</v>
      </c>
      <c r="D189" s="268">
        <v>8.86</v>
      </c>
      <c r="E189" s="14">
        <v>3077530.3791941097</v>
      </c>
      <c r="F189" s="14">
        <f>Tasaus[[#This Row],[Kunnallisvero (maksuunpantu), €]]*100/Tasaus[[#This Row],[Tuloveroprosentti 2023]]</f>
        <v>34735105.859978661</v>
      </c>
      <c r="G189" s="269">
        <f>Tasaus[[#This Row],[Verotettava tulo (kunnallisvero), €]]*($D$11/100)</f>
        <v>2559977.3018804276</v>
      </c>
      <c r="H189" s="14">
        <v>581569.50781365542</v>
      </c>
      <c r="I189" s="15">
        <v>317140.30424999999</v>
      </c>
      <c r="J189" s="15">
        <f>SUM(Tasaus[[#This Row],[Laskennallinen kunnallisvero, €]:[Laskennallinen kiinteistövero, €]])</f>
        <v>3458687.113944083</v>
      </c>
      <c r="K189" s="15">
        <f>Tasaus[[#This Row],[Laskennallinen verotulo yhteensä, €]]/Tasaus[[#This Row],[Asukasluku 31.12.2022]]</f>
        <v>1328.7311232977652</v>
      </c>
      <c r="L189" s="34">
        <f>$K$11-Tasaus[[#This Row],[Laskennallinen verotulo yhteensä, €/asukas (=tasausraja)]]</f>
        <v>815.22887670223486</v>
      </c>
      <c r="M189" s="369">
        <f>IF(Tasaus[[#This Row],[Erotus = tasausraja - laskennallinen verotulo, €/asukas]]&gt;0,(Tasaus[[#This Row],[Erotus = tasausraja - laskennallinen verotulo, €/asukas]]*$B$7),(Tasaus[[#This Row],[Erotus = tasausraja - laskennallinen verotulo, €/asukas]]*$B$8))</f>
        <v>733.70598903201142</v>
      </c>
      <c r="N189" s="370">
        <f>Tasaus[[#This Row],[Tasaus,  €/asukas]]*Tasaus[[#This Row],[Asukasluku 31.12.2022]]</f>
        <v>1909836.6894503257</v>
      </c>
      <c r="P189" s="116"/>
      <c r="Q189" s="117"/>
      <c r="R189" s="118"/>
    </row>
    <row r="190" spans="1:18">
      <c r="A190" s="266">
        <v>588</v>
      </c>
      <c r="B190" s="13" t="s">
        <v>552</v>
      </c>
      <c r="C190" s="267">
        <v>1593</v>
      </c>
      <c r="D190" s="268">
        <v>8.86</v>
      </c>
      <c r="E190" s="14">
        <v>2143188.1455530701</v>
      </c>
      <c r="F190" s="14">
        <f>Tasaus[[#This Row],[Kunnallisvero (maksuunpantu), €]]*100/Tasaus[[#This Row],[Tuloveroprosentti 2023]]</f>
        <v>24189482.45545226</v>
      </c>
      <c r="G190" s="269">
        <f>Tasaus[[#This Row],[Verotettava tulo (kunnallisvero), €]]*($D$11/100)</f>
        <v>1782764.856966832</v>
      </c>
      <c r="H190" s="14">
        <v>561157.28016359138</v>
      </c>
      <c r="I190" s="15">
        <v>478613.54980000004</v>
      </c>
      <c r="J190" s="15">
        <f>SUM(Tasaus[[#This Row],[Laskennallinen kunnallisvero, €]:[Laskennallinen kiinteistövero, €]])</f>
        <v>2822535.6869304236</v>
      </c>
      <c r="K190" s="15">
        <f>Tasaus[[#This Row],[Laskennallinen verotulo yhteensä, €]]/Tasaus[[#This Row],[Asukasluku 31.12.2022]]</f>
        <v>1771.8365894101844</v>
      </c>
      <c r="L190" s="34">
        <f>$K$11-Tasaus[[#This Row],[Laskennallinen verotulo yhteensä, €/asukas (=tasausraja)]]</f>
        <v>372.12341058981565</v>
      </c>
      <c r="M190" s="369">
        <f>IF(Tasaus[[#This Row],[Erotus = tasausraja - laskennallinen verotulo, €/asukas]]&gt;0,(Tasaus[[#This Row],[Erotus = tasausraja - laskennallinen verotulo, €/asukas]]*$B$7),(Tasaus[[#This Row],[Erotus = tasausraja - laskennallinen verotulo, €/asukas]]*$B$8))</f>
        <v>334.91106953083408</v>
      </c>
      <c r="N190" s="370">
        <f>Tasaus[[#This Row],[Tasaus,  €/asukas]]*Tasaus[[#This Row],[Asukasluku 31.12.2022]]</f>
        <v>533513.33376261871</v>
      </c>
      <c r="P190" s="116"/>
      <c r="Q190" s="117"/>
      <c r="R190" s="118"/>
    </row>
    <row r="191" spans="1:18">
      <c r="A191" s="266">
        <v>592</v>
      </c>
      <c r="B191" s="13" t="s">
        <v>553</v>
      </c>
      <c r="C191" s="267">
        <v>3690</v>
      </c>
      <c r="D191" s="268">
        <v>9.11</v>
      </c>
      <c r="E191" s="14">
        <v>5723026.8350021895</v>
      </c>
      <c r="F191" s="14">
        <f>Tasaus[[#This Row],[Kunnallisvero (maksuunpantu), €]]*100/Tasaus[[#This Row],[Tuloveroprosentti 2023]]</f>
        <v>62821370.307378598</v>
      </c>
      <c r="G191" s="269">
        <f>Tasaus[[#This Row],[Verotettava tulo (kunnallisvero), €]]*($D$11/100)</f>
        <v>4629934.9916538037</v>
      </c>
      <c r="H191" s="14">
        <v>729071.51836162317</v>
      </c>
      <c r="I191" s="15">
        <v>503992.09685000003</v>
      </c>
      <c r="J191" s="15">
        <f>SUM(Tasaus[[#This Row],[Laskennallinen kunnallisvero, €]:[Laskennallinen kiinteistövero, €]])</f>
        <v>5862998.6068654275</v>
      </c>
      <c r="K191" s="15">
        <f>Tasaus[[#This Row],[Laskennallinen verotulo yhteensä, €]]/Tasaus[[#This Row],[Asukasluku 31.12.2022]]</f>
        <v>1588.8885113456442</v>
      </c>
      <c r="L191" s="34">
        <f>$K$11-Tasaus[[#This Row],[Laskennallinen verotulo yhteensä, €/asukas (=tasausraja)]]</f>
        <v>555.07148865435579</v>
      </c>
      <c r="M191" s="369">
        <f>IF(Tasaus[[#This Row],[Erotus = tasausraja - laskennallinen verotulo, €/asukas]]&gt;0,(Tasaus[[#This Row],[Erotus = tasausraja - laskennallinen verotulo, €/asukas]]*$B$7),(Tasaus[[#This Row],[Erotus = tasausraja - laskennallinen verotulo, €/asukas]]*$B$8))</f>
        <v>499.56433978892022</v>
      </c>
      <c r="N191" s="370">
        <f>Tasaus[[#This Row],[Tasaus,  €/asukas]]*Tasaus[[#This Row],[Asukasluku 31.12.2022]]</f>
        <v>1843392.4138211156</v>
      </c>
      <c r="P191" s="116"/>
      <c r="Q191" s="117"/>
      <c r="R191" s="118"/>
    </row>
    <row r="192" spans="1:18">
      <c r="A192" s="266">
        <v>593</v>
      </c>
      <c r="B192" s="13" t="s">
        <v>554</v>
      </c>
      <c r="C192" s="267">
        <v>16791</v>
      </c>
      <c r="D192" s="268">
        <v>9.36</v>
      </c>
      <c r="E192" s="14">
        <v>28292305.564895608</v>
      </c>
      <c r="F192" s="14">
        <f>Tasaus[[#This Row],[Kunnallisvero (maksuunpantu), €]]*100/Tasaus[[#This Row],[Tuloveroprosentti 2023]]</f>
        <v>302268221.8471753</v>
      </c>
      <c r="G192" s="269">
        <f>Tasaus[[#This Row],[Verotettava tulo (kunnallisvero), €]]*($D$11/100)</f>
        <v>22277167.950136825</v>
      </c>
      <c r="H192" s="14">
        <v>3555162.6296073068</v>
      </c>
      <c r="I192" s="15">
        <v>2487942.4875000007</v>
      </c>
      <c r="J192" s="15">
        <f>SUM(Tasaus[[#This Row],[Laskennallinen kunnallisvero, €]:[Laskennallinen kiinteistövero, €]])</f>
        <v>28320273.067244131</v>
      </c>
      <c r="K192" s="15">
        <f>Tasaus[[#This Row],[Laskennallinen verotulo yhteensä, €]]/Tasaus[[#This Row],[Asukasluku 31.12.2022]]</f>
        <v>1686.6340936956781</v>
      </c>
      <c r="L192" s="34">
        <f>$K$11-Tasaus[[#This Row],[Laskennallinen verotulo yhteensä, €/asukas (=tasausraja)]]</f>
        <v>457.32590630432196</v>
      </c>
      <c r="M192" s="369">
        <f>IF(Tasaus[[#This Row],[Erotus = tasausraja - laskennallinen verotulo, €/asukas]]&gt;0,(Tasaus[[#This Row],[Erotus = tasausraja - laskennallinen verotulo, €/asukas]]*$B$7),(Tasaus[[#This Row],[Erotus = tasausraja - laskennallinen verotulo, €/asukas]]*$B$8))</f>
        <v>411.59331567388978</v>
      </c>
      <c r="N192" s="370">
        <f>Tasaus[[#This Row],[Tasaus,  €/asukas]]*Tasaus[[#This Row],[Asukasluku 31.12.2022]]</f>
        <v>6911063.3634802829</v>
      </c>
      <c r="P192" s="116"/>
      <c r="Q192" s="117"/>
      <c r="R192" s="118"/>
    </row>
    <row r="193" spans="1:18">
      <c r="A193" s="266">
        <v>595</v>
      </c>
      <c r="B193" s="13" t="s">
        <v>555</v>
      </c>
      <c r="C193" s="267">
        <v>4163</v>
      </c>
      <c r="D193" s="268">
        <v>9.1099999999999959</v>
      </c>
      <c r="E193" s="14">
        <v>5135630.5139109595</v>
      </c>
      <c r="F193" s="14">
        <f>Tasaus[[#This Row],[Kunnallisvero (maksuunpantu), €]]*100/Tasaus[[#This Row],[Tuloveroprosentti 2023]]</f>
        <v>56373551.195510007</v>
      </c>
      <c r="G193" s="269">
        <f>Tasaus[[#This Row],[Verotettava tulo (kunnallisvero), €]]*($D$11/100)</f>
        <v>4154730.7231090884</v>
      </c>
      <c r="H193" s="14">
        <v>1227824.3641996512</v>
      </c>
      <c r="I193" s="15">
        <v>666283.24989999982</v>
      </c>
      <c r="J193" s="15">
        <f>SUM(Tasaus[[#This Row],[Laskennallinen kunnallisvero, €]:[Laskennallinen kiinteistövero, €]])</f>
        <v>6048838.3372087395</v>
      </c>
      <c r="K193" s="15">
        <f>Tasaus[[#This Row],[Laskennallinen verotulo yhteensä, €]]/Tasaus[[#This Row],[Asukasluku 31.12.2022]]</f>
        <v>1452.9998407899927</v>
      </c>
      <c r="L193" s="34">
        <f>$K$11-Tasaus[[#This Row],[Laskennallinen verotulo yhteensä, €/asukas (=tasausraja)]]</f>
        <v>690.9601592100073</v>
      </c>
      <c r="M193" s="369">
        <f>IF(Tasaus[[#This Row],[Erotus = tasausraja - laskennallinen verotulo, €/asukas]]&gt;0,(Tasaus[[#This Row],[Erotus = tasausraja - laskennallinen verotulo, €/asukas]]*$B$7),(Tasaus[[#This Row],[Erotus = tasausraja - laskennallinen verotulo, €/asukas]]*$B$8))</f>
        <v>621.86414328900662</v>
      </c>
      <c r="N193" s="370">
        <f>Tasaus[[#This Row],[Tasaus,  €/asukas]]*Tasaus[[#This Row],[Asukasluku 31.12.2022]]</f>
        <v>2588820.4285121346</v>
      </c>
      <c r="P193" s="116"/>
      <c r="Q193" s="117"/>
      <c r="R193" s="118"/>
    </row>
    <row r="194" spans="1:18">
      <c r="A194" s="266">
        <v>598</v>
      </c>
      <c r="B194" s="13" t="s">
        <v>556</v>
      </c>
      <c r="C194" s="267">
        <v>18932</v>
      </c>
      <c r="D194" s="268">
        <v>8.61</v>
      </c>
      <c r="E194" s="14">
        <v>33333363.735552296</v>
      </c>
      <c r="F194" s="14">
        <f>Tasaus[[#This Row],[Kunnallisvero (maksuunpantu), €]]*100/Tasaus[[#This Row],[Tuloveroprosentti 2023]]</f>
        <v>387147081.71373171</v>
      </c>
      <c r="G194" s="269">
        <f>Tasaus[[#This Row],[Verotettava tulo (kunnallisvero), €]]*($D$11/100)</f>
        <v>28532739.922302034</v>
      </c>
      <c r="H194" s="14">
        <v>7473884.8800457977</v>
      </c>
      <c r="I194" s="15">
        <v>3293785.1349999998</v>
      </c>
      <c r="J194" s="15">
        <f>SUM(Tasaus[[#This Row],[Laskennallinen kunnallisvero, €]:[Laskennallinen kiinteistövero, €]])</f>
        <v>39300409.937347829</v>
      </c>
      <c r="K194" s="15">
        <f>Tasaus[[#This Row],[Laskennallinen verotulo yhteensä, €]]/Tasaus[[#This Row],[Asukasluku 31.12.2022]]</f>
        <v>2075.8720651461986</v>
      </c>
      <c r="L194" s="34">
        <f>$K$11-Tasaus[[#This Row],[Laskennallinen verotulo yhteensä, €/asukas (=tasausraja)]]</f>
        <v>68.087934853801471</v>
      </c>
      <c r="M194" s="369">
        <f>IF(Tasaus[[#This Row],[Erotus = tasausraja - laskennallinen verotulo, €/asukas]]&gt;0,(Tasaus[[#This Row],[Erotus = tasausraja - laskennallinen verotulo, €/asukas]]*$B$7),(Tasaus[[#This Row],[Erotus = tasausraja - laskennallinen verotulo, €/asukas]]*$B$8))</f>
        <v>61.279141368421328</v>
      </c>
      <c r="N194" s="370">
        <f>Tasaus[[#This Row],[Tasaus,  €/asukas]]*Tasaus[[#This Row],[Asukasluku 31.12.2022]]</f>
        <v>1160136.7043869526</v>
      </c>
      <c r="P194" s="116"/>
      <c r="Q194" s="117"/>
      <c r="R194" s="118"/>
    </row>
    <row r="195" spans="1:18">
      <c r="A195" s="266">
        <v>599</v>
      </c>
      <c r="B195" s="13" t="s">
        <v>557</v>
      </c>
      <c r="C195" s="267">
        <v>11226</v>
      </c>
      <c r="D195" s="268">
        <v>8.36</v>
      </c>
      <c r="E195" s="14">
        <v>16364899.442931339</v>
      </c>
      <c r="F195" s="14">
        <f>Tasaus[[#This Row],[Kunnallisvero (maksuunpantu), €]]*100/Tasaus[[#This Row],[Tuloveroprosentti 2023]]</f>
        <v>195752385.68099689</v>
      </c>
      <c r="G195" s="269">
        <f>Tasaus[[#This Row],[Verotettava tulo (kunnallisvero), €]]*($D$11/100)</f>
        <v>14426950.824689474</v>
      </c>
      <c r="H195" s="14">
        <v>2715752.6222403436</v>
      </c>
      <c r="I195" s="15">
        <v>1448029.35705</v>
      </c>
      <c r="J195" s="15">
        <f>SUM(Tasaus[[#This Row],[Laskennallinen kunnallisvero, €]:[Laskennallinen kiinteistövero, €]])</f>
        <v>18590732.803979818</v>
      </c>
      <c r="K195" s="15">
        <f>Tasaus[[#This Row],[Laskennallinen verotulo yhteensä, €]]/Tasaus[[#This Row],[Asukasluku 31.12.2022]]</f>
        <v>1656.0424731854462</v>
      </c>
      <c r="L195" s="34">
        <f>$K$11-Tasaus[[#This Row],[Laskennallinen verotulo yhteensä, €/asukas (=tasausraja)]]</f>
        <v>487.91752681455387</v>
      </c>
      <c r="M195" s="369">
        <f>IF(Tasaus[[#This Row],[Erotus = tasausraja - laskennallinen verotulo, €/asukas]]&gt;0,(Tasaus[[#This Row],[Erotus = tasausraja - laskennallinen verotulo, €/asukas]]*$B$7),(Tasaus[[#This Row],[Erotus = tasausraja - laskennallinen verotulo, €/asukas]]*$B$8))</f>
        <v>439.1257741330985</v>
      </c>
      <c r="N195" s="370">
        <f>Tasaus[[#This Row],[Tasaus,  €/asukas]]*Tasaus[[#This Row],[Asukasluku 31.12.2022]]</f>
        <v>4929625.9404181642</v>
      </c>
      <c r="P195" s="116"/>
      <c r="Q195" s="117"/>
      <c r="R195" s="118"/>
    </row>
    <row r="196" spans="1:18">
      <c r="A196" s="266">
        <v>601</v>
      </c>
      <c r="B196" s="13" t="s">
        <v>558</v>
      </c>
      <c r="C196" s="267">
        <v>3806</v>
      </c>
      <c r="D196" s="268">
        <v>8.36</v>
      </c>
      <c r="E196" s="14">
        <v>4676950.1327789798</v>
      </c>
      <c r="F196" s="14">
        <f>Tasaus[[#This Row],[Kunnallisvero (maksuunpantu), €]]*100/Tasaus[[#This Row],[Tuloveroprosentti 2023]]</f>
        <v>55944379.578695931</v>
      </c>
      <c r="G196" s="269">
        <f>Tasaus[[#This Row],[Verotettava tulo (kunnallisvero), €]]*($D$11/100)</f>
        <v>4123100.774949891</v>
      </c>
      <c r="H196" s="14">
        <v>1814615.7419112276</v>
      </c>
      <c r="I196" s="15">
        <v>528642.11684999999</v>
      </c>
      <c r="J196" s="15">
        <f>SUM(Tasaus[[#This Row],[Laskennallinen kunnallisvero, €]:[Laskennallinen kiinteistövero, €]])</f>
        <v>6466358.6337111183</v>
      </c>
      <c r="K196" s="15">
        <f>Tasaus[[#This Row],[Laskennallinen verotulo yhteensä, €]]/Tasaus[[#This Row],[Asukasluku 31.12.2022]]</f>
        <v>1698.9907077538408</v>
      </c>
      <c r="L196" s="34">
        <f>$K$11-Tasaus[[#This Row],[Laskennallinen verotulo yhteensä, €/asukas (=tasausraja)]]</f>
        <v>444.96929224615928</v>
      </c>
      <c r="M196" s="369">
        <f>IF(Tasaus[[#This Row],[Erotus = tasausraja - laskennallinen verotulo, €/asukas]]&gt;0,(Tasaus[[#This Row],[Erotus = tasausraja - laskennallinen verotulo, €/asukas]]*$B$7),(Tasaus[[#This Row],[Erotus = tasausraja - laskennallinen verotulo, €/asukas]]*$B$8))</f>
        <v>400.47236302154334</v>
      </c>
      <c r="N196" s="370">
        <f>Tasaus[[#This Row],[Tasaus,  €/asukas]]*Tasaus[[#This Row],[Asukasluku 31.12.2022]]</f>
        <v>1524197.8136599939</v>
      </c>
      <c r="P196" s="116"/>
      <c r="Q196" s="117"/>
      <c r="R196" s="118"/>
    </row>
    <row r="197" spans="1:18">
      <c r="A197" s="266">
        <v>604</v>
      </c>
      <c r="B197" s="13" t="s">
        <v>559</v>
      </c>
      <c r="C197" s="267">
        <v>20155</v>
      </c>
      <c r="D197" s="268">
        <v>7.8599999999999994</v>
      </c>
      <c r="E197" s="14">
        <v>41156131.440935344</v>
      </c>
      <c r="F197" s="14">
        <f>Tasaus[[#This Row],[Kunnallisvero (maksuunpantu), €]]*100/Tasaus[[#This Row],[Tuloveroprosentti 2023]]</f>
        <v>523614903.82869399</v>
      </c>
      <c r="G197" s="269">
        <f>Tasaus[[#This Row],[Verotettava tulo (kunnallisvero), €]]*($D$11/100)</f>
        <v>38590418.412174754</v>
      </c>
      <c r="H197" s="14">
        <v>6070501.6740454799</v>
      </c>
      <c r="I197" s="15">
        <v>3544017.5720499991</v>
      </c>
      <c r="J197" s="15">
        <f>SUM(Tasaus[[#This Row],[Laskennallinen kunnallisvero, €]:[Laskennallinen kiinteistövero, €]])</f>
        <v>48204937.658270232</v>
      </c>
      <c r="K197" s="15">
        <f>Tasaus[[#This Row],[Laskennallinen verotulo yhteensä, €]]/Tasaus[[#This Row],[Asukasluku 31.12.2022]]</f>
        <v>2391.71112172018</v>
      </c>
      <c r="L197" s="34">
        <f>$K$11-Tasaus[[#This Row],[Laskennallinen verotulo yhteensä, €/asukas (=tasausraja)]]</f>
        <v>-247.75112172017998</v>
      </c>
      <c r="M197" s="369">
        <f>IF(Tasaus[[#This Row],[Erotus = tasausraja - laskennallinen verotulo, €/asukas]]&gt;0,(Tasaus[[#This Row],[Erotus = tasausraja - laskennallinen verotulo, €/asukas]]*$B$7),(Tasaus[[#This Row],[Erotus = tasausraja - laskennallinen verotulo, €/asukas]]*$B$8))</f>
        <v>-24.775112172017998</v>
      </c>
      <c r="N197" s="370">
        <f>Tasaus[[#This Row],[Tasaus,  €/asukas]]*Tasaus[[#This Row],[Asukasluku 31.12.2022]]</f>
        <v>-499342.38582702278</v>
      </c>
      <c r="P197" s="116"/>
      <c r="Q197" s="117"/>
      <c r="R197" s="118"/>
    </row>
    <row r="198" spans="1:18">
      <c r="A198" s="266">
        <v>607</v>
      </c>
      <c r="B198" s="13" t="s">
        <v>560</v>
      </c>
      <c r="C198" s="267">
        <v>4070</v>
      </c>
      <c r="D198" s="268">
        <v>7.6099999999999994</v>
      </c>
      <c r="E198" s="14">
        <v>4287911.849688109</v>
      </c>
      <c r="F198" s="14">
        <f>Tasaus[[#This Row],[Kunnallisvero (maksuunpantu), €]]*100/Tasaus[[#This Row],[Tuloveroprosentti 2023]]</f>
        <v>56345753.609567799</v>
      </c>
      <c r="G198" s="269">
        <f>Tasaus[[#This Row],[Verotettava tulo (kunnallisvero), €]]*($D$11/100)</f>
        <v>4152682.0410251478</v>
      </c>
      <c r="H198" s="14">
        <v>1184536.0493962129</v>
      </c>
      <c r="I198" s="15">
        <v>547809.98505000002</v>
      </c>
      <c r="J198" s="15">
        <f>SUM(Tasaus[[#This Row],[Laskennallinen kunnallisvero, €]:[Laskennallinen kiinteistövero, €]])</f>
        <v>5885028.0754713612</v>
      </c>
      <c r="K198" s="15">
        <f>Tasaus[[#This Row],[Laskennallinen verotulo yhteensä, €]]/Tasaus[[#This Row],[Asukasluku 31.12.2022]]</f>
        <v>1445.9528440961576</v>
      </c>
      <c r="L198" s="34">
        <f>$K$11-Tasaus[[#This Row],[Laskennallinen verotulo yhteensä, €/asukas (=tasausraja)]]</f>
        <v>698.00715590384243</v>
      </c>
      <c r="M198" s="369">
        <f>IF(Tasaus[[#This Row],[Erotus = tasausraja - laskennallinen verotulo, €/asukas]]&gt;0,(Tasaus[[#This Row],[Erotus = tasausraja - laskennallinen verotulo, €/asukas]]*$B$7),(Tasaus[[#This Row],[Erotus = tasausraja - laskennallinen verotulo, €/asukas]]*$B$8))</f>
        <v>628.20644031345819</v>
      </c>
      <c r="N198" s="370">
        <f>Tasaus[[#This Row],[Tasaus,  €/asukas]]*Tasaus[[#This Row],[Asukasluku 31.12.2022]]</f>
        <v>2556800.212075775</v>
      </c>
      <c r="P198" s="116"/>
      <c r="Q198" s="117"/>
      <c r="R198" s="118"/>
    </row>
    <row r="199" spans="1:18">
      <c r="A199" s="266">
        <v>608</v>
      </c>
      <c r="B199" s="13" t="s">
        <v>561</v>
      </c>
      <c r="C199" s="267">
        <v>2001</v>
      </c>
      <c r="D199" s="268">
        <v>8.86</v>
      </c>
      <c r="E199" s="14">
        <v>2799232.9679558999</v>
      </c>
      <c r="F199" s="14">
        <f>Tasaus[[#This Row],[Kunnallisvero (maksuunpantu), €]]*100/Tasaus[[#This Row],[Tuloveroprosentti 2023]]</f>
        <v>31594051.557064336</v>
      </c>
      <c r="G199" s="269">
        <f>Tasaus[[#This Row],[Verotettava tulo (kunnallisvero), €]]*($D$11/100)</f>
        <v>2328481.599755642</v>
      </c>
      <c r="H199" s="14">
        <v>458209.26314445236</v>
      </c>
      <c r="I199" s="15">
        <v>311279.02364999999</v>
      </c>
      <c r="J199" s="15">
        <f>SUM(Tasaus[[#This Row],[Laskennallinen kunnallisvero, €]:[Laskennallinen kiinteistövero, €]])</f>
        <v>3097969.886550094</v>
      </c>
      <c r="K199" s="15">
        <f>Tasaus[[#This Row],[Laskennallinen verotulo yhteensä, €]]/Tasaus[[#This Row],[Asukasluku 31.12.2022]]</f>
        <v>1548.210837856119</v>
      </c>
      <c r="L199" s="34">
        <f>$K$11-Tasaus[[#This Row],[Laskennallinen verotulo yhteensä, €/asukas (=tasausraja)]]</f>
        <v>595.74916214388099</v>
      </c>
      <c r="M199" s="369">
        <f>IF(Tasaus[[#This Row],[Erotus = tasausraja - laskennallinen verotulo, €/asukas]]&gt;0,(Tasaus[[#This Row],[Erotus = tasausraja - laskennallinen verotulo, €/asukas]]*$B$7),(Tasaus[[#This Row],[Erotus = tasausraja - laskennallinen verotulo, €/asukas]]*$B$8))</f>
        <v>536.17424592949294</v>
      </c>
      <c r="N199" s="370">
        <f>Tasaus[[#This Row],[Tasaus,  €/asukas]]*Tasaus[[#This Row],[Asukasluku 31.12.2022]]</f>
        <v>1072884.6661049153</v>
      </c>
      <c r="P199" s="116"/>
      <c r="Q199" s="117"/>
      <c r="R199" s="118"/>
    </row>
    <row r="200" spans="1:18">
      <c r="A200" s="266">
        <v>609</v>
      </c>
      <c r="B200" s="13" t="s">
        <v>562</v>
      </c>
      <c r="C200" s="267">
        <v>82988</v>
      </c>
      <c r="D200" s="268">
        <v>8.360000000000003</v>
      </c>
      <c r="E200" s="14">
        <v>137139201.39715874</v>
      </c>
      <c r="F200" s="14">
        <f>Tasaus[[#This Row],[Kunnallisvero (maksuunpantu), €]]*100/Tasaus[[#This Row],[Tuloveroprosentti 2023]]</f>
        <v>1640421069.3440034</v>
      </c>
      <c r="G200" s="269">
        <f>Tasaus[[#This Row],[Verotettava tulo (kunnallisvero), €]]*($D$11/100)</f>
        <v>120899032.81065308</v>
      </c>
      <c r="H200" s="14">
        <v>17271899.106685061</v>
      </c>
      <c r="I200" s="15">
        <v>14880109.33085</v>
      </c>
      <c r="J200" s="15">
        <f>SUM(Tasaus[[#This Row],[Laskennallinen kunnallisvero, €]:[Laskennallinen kiinteistövero, €]])</f>
        <v>153051041.24818814</v>
      </c>
      <c r="K200" s="15">
        <f>Tasaus[[#This Row],[Laskennallinen verotulo yhteensä, €]]/Tasaus[[#This Row],[Asukasluku 31.12.2022]]</f>
        <v>1844.2550880631916</v>
      </c>
      <c r="L200" s="34">
        <f>$K$11-Tasaus[[#This Row],[Laskennallinen verotulo yhteensä, €/asukas (=tasausraja)]]</f>
        <v>299.70491193680846</v>
      </c>
      <c r="M200" s="369">
        <f>IF(Tasaus[[#This Row],[Erotus = tasausraja - laskennallinen verotulo, €/asukas]]&gt;0,(Tasaus[[#This Row],[Erotus = tasausraja - laskennallinen verotulo, €/asukas]]*$B$7),(Tasaus[[#This Row],[Erotus = tasausraja - laskennallinen verotulo, €/asukas]]*$B$8))</f>
        <v>269.7344207431276</v>
      </c>
      <c r="N200" s="370">
        <f>Tasaus[[#This Row],[Tasaus,  €/asukas]]*Tasaus[[#This Row],[Asukasluku 31.12.2022]]</f>
        <v>22384720.108630672</v>
      </c>
      <c r="P200" s="116"/>
      <c r="Q200" s="117"/>
      <c r="R200" s="118"/>
    </row>
    <row r="201" spans="1:18">
      <c r="A201" s="266">
        <v>611</v>
      </c>
      <c r="B201" s="13" t="s">
        <v>563</v>
      </c>
      <c r="C201" s="267">
        <v>5062</v>
      </c>
      <c r="D201" s="268">
        <v>7.8599999999999994</v>
      </c>
      <c r="E201" s="14">
        <v>8954835.688196579</v>
      </c>
      <c r="F201" s="14">
        <f>Tasaus[[#This Row],[Kunnallisvero (maksuunpantu), €]]*100/Tasaus[[#This Row],[Tuloveroprosentti 2023]]</f>
        <v>113929207.22896412</v>
      </c>
      <c r="G201" s="269">
        <f>Tasaus[[#This Row],[Verotettava tulo (kunnallisvero), €]]*($D$11/100)</f>
        <v>8396582.572774658</v>
      </c>
      <c r="H201" s="14">
        <v>437719.02557149151</v>
      </c>
      <c r="I201" s="15">
        <v>708369.21220000007</v>
      </c>
      <c r="J201" s="15">
        <f>SUM(Tasaus[[#This Row],[Laskennallinen kunnallisvero, €]:[Laskennallinen kiinteistövero, €]])</f>
        <v>9542670.8105461504</v>
      </c>
      <c r="K201" s="15">
        <f>Tasaus[[#This Row],[Laskennallinen verotulo yhteensä, €]]/Tasaus[[#This Row],[Asukasluku 31.12.2022]]</f>
        <v>1885.1582004239729</v>
      </c>
      <c r="L201" s="34">
        <f>$K$11-Tasaus[[#This Row],[Laskennallinen verotulo yhteensä, €/asukas (=tasausraja)]]</f>
        <v>258.80179957602718</v>
      </c>
      <c r="M201" s="369">
        <f>IF(Tasaus[[#This Row],[Erotus = tasausraja - laskennallinen verotulo, €/asukas]]&gt;0,(Tasaus[[#This Row],[Erotus = tasausraja - laskennallinen verotulo, €/asukas]]*$B$7),(Tasaus[[#This Row],[Erotus = tasausraja - laskennallinen verotulo, €/asukas]]*$B$8))</f>
        <v>232.92161961842447</v>
      </c>
      <c r="N201" s="370">
        <f>Tasaus[[#This Row],[Tasaus,  €/asukas]]*Tasaus[[#This Row],[Asukasluku 31.12.2022]]</f>
        <v>1179049.2385084648</v>
      </c>
      <c r="P201" s="116"/>
      <c r="Q201" s="117"/>
      <c r="R201" s="118"/>
    </row>
    <row r="202" spans="1:18">
      <c r="A202" s="266">
        <v>614</v>
      </c>
      <c r="B202" s="13" t="s">
        <v>564</v>
      </c>
      <c r="C202" s="267">
        <v>2970</v>
      </c>
      <c r="D202" s="268">
        <v>9.11</v>
      </c>
      <c r="E202" s="14">
        <v>3991820.0242941296</v>
      </c>
      <c r="F202" s="14">
        <f>Tasaus[[#This Row],[Kunnallisvero (maksuunpantu), €]]*100/Tasaus[[#This Row],[Tuloveroprosentti 2023]]</f>
        <v>43818002.462065093</v>
      </c>
      <c r="G202" s="269">
        <f>Tasaus[[#This Row],[Verotettava tulo (kunnallisvero), €]]*($D$11/100)</f>
        <v>3229386.7814541981</v>
      </c>
      <c r="H202" s="14">
        <v>645794.17367347563</v>
      </c>
      <c r="I202" s="15">
        <v>788622.47619999992</v>
      </c>
      <c r="J202" s="15">
        <f>SUM(Tasaus[[#This Row],[Laskennallinen kunnallisvero, €]:[Laskennallinen kiinteistövero, €]])</f>
        <v>4663803.4313276736</v>
      </c>
      <c r="K202" s="15">
        <f>Tasaus[[#This Row],[Laskennallinen verotulo yhteensä, €]]/Tasaus[[#This Row],[Asukasluku 31.12.2022]]</f>
        <v>1570.3041856322134</v>
      </c>
      <c r="L202" s="34">
        <f>$K$11-Tasaus[[#This Row],[Laskennallinen verotulo yhteensä, €/asukas (=tasausraja)]]</f>
        <v>573.65581436778666</v>
      </c>
      <c r="M202" s="369">
        <f>IF(Tasaus[[#This Row],[Erotus = tasausraja - laskennallinen verotulo, €/asukas]]&gt;0,(Tasaus[[#This Row],[Erotus = tasausraja - laskennallinen verotulo, €/asukas]]*$B$7),(Tasaus[[#This Row],[Erotus = tasausraja - laskennallinen verotulo, €/asukas]]*$B$8))</f>
        <v>516.29023293100806</v>
      </c>
      <c r="N202" s="370">
        <f>Tasaus[[#This Row],[Tasaus,  €/asukas]]*Tasaus[[#This Row],[Asukasluku 31.12.2022]]</f>
        <v>1533381.9918050941</v>
      </c>
      <c r="P202" s="116"/>
      <c r="Q202" s="117"/>
      <c r="R202" s="118"/>
    </row>
    <row r="203" spans="1:18">
      <c r="A203" s="266">
        <v>615</v>
      </c>
      <c r="B203" s="13" t="s">
        <v>565</v>
      </c>
      <c r="C203" s="267">
        <v>7588</v>
      </c>
      <c r="D203" s="268">
        <v>8.36</v>
      </c>
      <c r="E203" s="14">
        <v>8972359.1214261204</v>
      </c>
      <c r="F203" s="14">
        <f>Tasaus[[#This Row],[Kunnallisvero (maksuunpantu), €]]*100/Tasaus[[#This Row],[Tuloveroprosentti 2023]]</f>
        <v>107324869.87351818</v>
      </c>
      <c r="G203" s="269">
        <f>Tasaus[[#This Row],[Verotettava tulo (kunnallisvero), €]]*($D$11/100)</f>
        <v>7909842.9096782915</v>
      </c>
      <c r="H203" s="14">
        <v>2298399.5347429183</v>
      </c>
      <c r="I203" s="15">
        <v>1606761.5931000002</v>
      </c>
      <c r="J203" s="15">
        <f>SUM(Tasaus[[#This Row],[Laskennallinen kunnallisvero, €]:[Laskennallinen kiinteistövero, €]])</f>
        <v>11815004.03752121</v>
      </c>
      <c r="K203" s="15">
        <f>Tasaus[[#This Row],[Laskennallinen verotulo yhteensä, €]]/Tasaus[[#This Row],[Asukasluku 31.12.2022]]</f>
        <v>1557.064317016501</v>
      </c>
      <c r="L203" s="34">
        <f>$K$11-Tasaus[[#This Row],[Laskennallinen verotulo yhteensä, €/asukas (=tasausraja)]]</f>
        <v>586.895682983499</v>
      </c>
      <c r="M203" s="369">
        <f>IF(Tasaus[[#This Row],[Erotus = tasausraja - laskennallinen verotulo, €/asukas]]&gt;0,(Tasaus[[#This Row],[Erotus = tasausraja - laskennallinen verotulo, €/asukas]]*$B$7),(Tasaus[[#This Row],[Erotus = tasausraja - laskennallinen verotulo, €/asukas]]*$B$8))</f>
        <v>528.20611468514915</v>
      </c>
      <c r="N203" s="370">
        <f>Tasaus[[#This Row],[Tasaus,  €/asukas]]*Tasaus[[#This Row],[Asukasluku 31.12.2022]]</f>
        <v>4008027.9982309118</v>
      </c>
      <c r="P203" s="116"/>
      <c r="Q203" s="117"/>
      <c r="R203" s="118"/>
    </row>
    <row r="204" spans="1:18">
      <c r="A204" s="266">
        <v>616</v>
      </c>
      <c r="B204" s="13" t="s">
        <v>566</v>
      </c>
      <c r="C204" s="267">
        <v>1780</v>
      </c>
      <c r="D204" s="268">
        <v>8.86</v>
      </c>
      <c r="E204" s="14">
        <v>3082498.3628416602</v>
      </c>
      <c r="F204" s="14">
        <f>Tasaus[[#This Row],[Kunnallisvero (maksuunpantu), €]]*100/Tasaus[[#This Row],[Tuloveroprosentti 2023]]</f>
        <v>34791177.910176754</v>
      </c>
      <c r="G204" s="269">
        <f>Tasaus[[#This Row],[Verotettava tulo (kunnallisvero), €]]*($D$11/100)</f>
        <v>2564109.8119800272</v>
      </c>
      <c r="H204" s="14">
        <v>218543.60026110729</v>
      </c>
      <c r="I204" s="15">
        <v>215032.48680000001</v>
      </c>
      <c r="J204" s="15">
        <f>SUM(Tasaus[[#This Row],[Laskennallinen kunnallisvero, €]:[Laskennallinen kiinteistövero, €]])</f>
        <v>2997685.8990411344</v>
      </c>
      <c r="K204" s="15">
        <f>Tasaus[[#This Row],[Laskennallinen verotulo yhteensä, €]]/Tasaus[[#This Row],[Asukasluku 31.12.2022]]</f>
        <v>1684.0932017085024</v>
      </c>
      <c r="L204" s="34">
        <f>$K$11-Tasaus[[#This Row],[Laskennallinen verotulo yhteensä, €/asukas (=tasausraja)]]</f>
        <v>459.86679829149762</v>
      </c>
      <c r="M204" s="369">
        <f>IF(Tasaus[[#This Row],[Erotus = tasausraja - laskennallinen verotulo, €/asukas]]&gt;0,(Tasaus[[#This Row],[Erotus = tasausraja - laskennallinen verotulo, €/asukas]]*$B$7),(Tasaus[[#This Row],[Erotus = tasausraja - laskennallinen verotulo, €/asukas]]*$B$8))</f>
        <v>413.88011846234787</v>
      </c>
      <c r="N204" s="370">
        <f>Tasaus[[#This Row],[Tasaus,  €/asukas]]*Tasaus[[#This Row],[Asukasluku 31.12.2022]]</f>
        <v>736706.6108629792</v>
      </c>
      <c r="P204" s="116"/>
      <c r="Q204" s="117"/>
      <c r="R204" s="118"/>
    </row>
    <row r="205" spans="1:18">
      <c r="A205" s="266">
        <v>619</v>
      </c>
      <c r="B205" s="13" t="s">
        <v>567</v>
      </c>
      <c r="C205" s="267">
        <v>2665</v>
      </c>
      <c r="D205" s="268">
        <v>9.36</v>
      </c>
      <c r="E205" s="14">
        <v>3809449.8609413397</v>
      </c>
      <c r="F205" s="14">
        <f>Tasaus[[#This Row],[Kunnallisvero (maksuunpantu), €]]*100/Tasaus[[#This Row],[Tuloveroprosentti 2023]]</f>
        <v>40699250.651082695</v>
      </c>
      <c r="G205" s="269">
        <f>Tasaus[[#This Row],[Verotettava tulo (kunnallisvero), €]]*($D$11/100)</f>
        <v>2999534.7729847953</v>
      </c>
      <c r="H205" s="14">
        <v>510966.28591783385</v>
      </c>
      <c r="I205" s="15">
        <v>359373.99809999997</v>
      </c>
      <c r="J205" s="15">
        <f>SUM(Tasaus[[#This Row],[Laskennallinen kunnallisvero, €]:[Laskennallinen kiinteistövero, €]])</f>
        <v>3869875.0570026292</v>
      </c>
      <c r="K205" s="15">
        <f>Tasaus[[#This Row],[Laskennallinen verotulo yhteensä, €]]/Tasaus[[#This Row],[Asukasluku 31.12.2022]]</f>
        <v>1452.1107155732193</v>
      </c>
      <c r="L205" s="34">
        <f>$K$11-Tasaus[[#This Row],[Laskennallinen verotulo yhteensä, €/asukas (=tasausraja)]]</f>
        <v>691.84928442678074</v>
      </c>
      <c r="M205" s="369">
        <f>IF(Tasaus[[#This Row],[Erotus = tasausraja - laskennallinen verotulo, €/asukas]]&gt;0,(Tasaus[[#This Row],[Erotus = tasausraja - laskennallinen verotulo, €/asukas]]*$B$7),(Tasaus[[#This Row],[Erotus = tasausraja - laskennallinen verotulo, €/asukas]]*$B$8))</f>
        <v>622.66435598410271</v>
      </c>
      <c r="N205" s="370">
        <f>Tasaus[[#This Row],[Tasaus,  €/asukas]]*Tasaus[[#This Row],[Asukasluku 31.12.2022]]</f>
        <v>1659400.5086976336</v>
      </c>
      <c r="P205" s="116"/>
      <c r="Q205" s="117"/>
      <c r="R205" s="118"/>
    </row>
    <row r="206" spans="1:18">
      <c r="A206" s="266">
        <v>620</v>
      </c>
      <c r="B206" s="13" t="s">
        <v>568</v>
      </c>
      <c r="C206" s="267">
        <v>2381</v>
      </c>
      <c r="D206" s="268">
        <v>8.86</v>
      </c>
      <c r="E206" s="14">
        <v>2976002.8588332697</v>
      </c>
      <c r="F206" s="14">
        <f>Tasaus[[#This Row],[Kunnallisvero (maksuunpantu), €]]*100/Tasaus[[#This Row],[Tuloveroprosentti 2023]]</f>
        <v>33589197.052294239</v>
      </c>
      <c r="G206" s="269">
        <f>Tasaus[[#This Row],[Verotettava tulo (kunnallisvero), €]]*($D$11/100)</f>
        <v>2475523.822754086</v>
      </c>
      <c r="H206" s="14">
        <v>975455.44006578252</v>
      </c>
      <c r="I206" s="15">
        <v>482321.24685</v>
      </c>
      <c r="J206" s="15">
        <f>SUM(Tasaus[[#This Row],[Laskennallinen kunnallisvero, €]:[Laskennallinen kiinteistövero, €]])</f>
        <v>3933300.5096698683</v>
      </c>
      <c r="K206" s="15">
        <f>Tasaus[[#This Row],[Laskennallinen verotulo yhteensä, €]]/Tasaus[[#This Row],[Asukasluku 31.12.2022]]</f>
        <v>1651.9531749978448</v>
      </c>
      <c r="L206" s="34">
        <f>$K$11-Tasaus[[#This Row],[Laskennallinen verotulo yhteensä, €/asukas (=tasausraja)]]</f>
        <v>492.00682500215521</v>
      </c>
      <c r="M206" s="369">
        <f>IF(Tasaus[[#This Row],[Erotus = tasausraja - laskennallinen verotulo, €/asukas]]&gt;0,(Tasaus[[#This Row],[Erotus = tasausraja - laskennallinen verotulo, €/asukas]]*$B$7),(Tasaus[[#This Row],[Erotus = tasausraja - laskennallinen verotulo, €/asukas]]*$B$8))</f>
        <v>442.80614250193969</v>
      </c>
      <c r="N206" s="370">
        <f>Tasaus[[#This Row],[Tasaus,  €/asukas]]*Tasaus[[#This Row],[Asukasluku 31.12.2022]]</f>
        <v>1054321.4252971185</v>
      </c>
      <c r="P206" s="116"/>
      <c r="Q206" s="117"/>
      <c r="R206" s="118"/>
    </row>
    <row r="207" spans="1:18">
      <c r="A207" s="266">
        <v>623</v>
      </c>
      <c r="B207" s="13" t="s">
        <v>569</v>
      </c>
      <c r="C207" s="267">
        <v>2091</v>
      </c>
      <c r="D207" s="268">
        <v>6.8599999999999994</v>
      </c>
      <c r="E207" s="14">
        <v>2657238.96261138</v>
      </c>
      <c r="F207" s="14">
        <f>Tasaus[[#This Row],[Kunnallisvero (maksuunpantu), €]]*100/Tasaus[[#This Row],[Tuloveroprosentti 2023]]</f>
        <v>38735261.84564694</v>
      </c>
      <c r="G207" s="269">
        <f>Tasaus[[#This Row],[Verotettava tulo (kunnallisvero), €]]*($D$11/100)</f>
        <v>2854788.7980241799</v>
      </c>
      <c r="H207" s="14">
        <v>1031608.1997429398</v>
      </c>
      <c r="I207" s="15">
        <v>1110278.1413499999</v>
      </c>
      <c r="J207" s="15">
        <f>SUM(Tasaus[[#This Row],[Laskennallinen kunnallisvero, €]:[Laskennallinen kiinteistövero, €]])</f>
        <v>4996675.1391171198</v>
      </c>
      <c r="K207" s="15">
        <f>Tasaus[[#This Row],[Laskennallinen verotulo yhteensä, €]]/Tasaus[[#This Row],[Asukasluku 31.12.2022]]</f>
        <v>2389.6103008690197</v>
      </c>
      <c r="L207" s="34">
        <f>$K$11-Tasaus[[#This Row],[Laskennallinen verotulo yhteensä, €/asukas (=tasausraja)]]</f>
        <v>-245.6503008690197</v>
      </c>
      <c r="M207" s="369">
        <f>IF(Tasaus[[#This Row],[Erotus = tasausraja - laskennallinen verotulo, €/asukas]]&gt;0,(Tasaus[[#This Row],[Erotus = tasausraja - laskennallinen verotulo, €/asukas]]*$B$7),(Tasaus[[#This Row],[Erotus = tasausraja - laskennallinen verotulo, €/asukas]]*$B$8))</f>
        <v>-24.56503008690197</v>
      </c>
      <c r="N207" s="370">
        <f>Tasaus[[#This Row],[Tasaus,  €/asukas]]*Tasaus[[#This Row],[Asukasluku 31.12.2022]]</f>
        <v>-51365.47791171202</v>
      </c>
      <c r="P207" s="116"/>
      <c r="Q207" s="117"/>
      <c r="R207" s="118"/>
    </row>
    <row r="208" spans="1:18">
      <c r="A208" s="266">
        <v>624</v>
      </c>
      <c r="B208" s="13" t="s">
        <v>208</v>
      </c>
      <c r="C208" s="267">
        <v>5064</v>
      </c>
      <c r="D208" s="268">
        <v>8.11</v>
      </c>
      <c r="E208" s="14">
        <v>8730824.7891797796</v>
      </c>
      <c r="F208" s="14">
        <f>Tasaus[[#This Row],[Kunnallisvero (maksuunpantu), €]]*100/Tasaus[[#This Row],[Tuloveroprosentti 2023]]</f>
        <v>107655052.88754353</v>
      </c>
      <c r="G208" s="269">
        <f>Tasaus[[#This Row],[Verotettava tulo (kunnallisvero), €]]*($D$11/100)</f>
        <v>7934177.3978119595</v>
      </c>
      <c r="H208" s="14">
        <v>938853.1104743951</v>
      </c>
      <c r="I208" s="15">
        <v>893963.63374999992</v>
      </c>
      <c r="J208" s="15">
        <f>SUM(Tasaus[[#This Row],[Laskennallinen kunnallisvero, €]:[Laskennallinen kiinteistövero, €]])</f>
        <v>9766994.1420363542</v>
      </c>
      <c r="K208" s="15">
        <f>Tasaus[[#This Row],[Laskennallinen verotulo yhteensä, €]]/Tasaus[[#This Row],[Asukasluku 31.12.2022]]</f>
        <v>1928.7113234668946</v>
      </c>
      <c r="L208" s="34">
        <f>$K$11-Tasaus[[#This Row],[Laskennallinen verotulo yhteensä, €/asukas (=tasausraja)]]</f>
        <v>215.24867653310548</v>
      </c>
      <c r="M208" s="369">
        <f>IF(Tasaus[[#This Row],[Erotus = tasausraja - laskennallinen verotulo, €/asukas]]&gt;0,(Tasaus[[#This Row],[Erotus = tasausraja - laskennallinen verotulo, €/asukas]]*$B$7),(Tasaus[[#This Row],[Erotus = tasausraja - laskennallinen verotulo, €/asukas]]*$B$8))</f>
        <v>193.72380887979494</v>
      </c>
      <c r="N208" s="370">
        <f>Tasaus[[#This Row],[Tasaus,  €/asukas]]*Tasaus[[#This Row],[Asukasluku 31.12.2022]]</f>
        <v>981017.36816728162</v>
      </c>
      <c r="P208" s="116"/>
      <c r="Q208" s="117"/>
      <c r="R208" s="118"/>
    </row>
    <row r="209" spans="1:18">
      <c r="A209" s="266">
        <v>625</v>
      </c>
      <c r="B209" s="13" t="s">
        <v>570</v>
      </c>
      <c r="C209" s="267">
        <v>2981</v>
      </c>
      <c r="D209" s="268">
        <v>8.11</v>
      </c>
      <c r="E209" s="14">
        <v>4637838.55242645</v>
      </c>
      <c r="F209" s="14">
        <f>Tasaus[[#This Row],[Kunnallisvero (maksuunpantu), €]]*100/Tasaus[[#This Row],[Tuloveroprosentti 2023]]</f>
        <v>57186665.25803268</v>
      </c>
      <c r="G209" s="269">
        <f>Tasaus[[#This Row],[Verotettava tulo (kunnallisvero), €]]*($D$11/100)</f>
        <v>4214657.2295170091</v>
      </c>
      <c r="H209" s="14">
        <v>526787.36219552497</v>
      </c>
      <c r="I209" s="15">
        <v>1013472.3389999998</v>
      </c>
      <c r="J209" s="15">
        <f>SUM(Tasaus[[#This Row],[Laskennallinen kunnallisvero, €]:[Laskennallinen kiinteistövero, €]])</f>
        <v>5754916.9307125341</v>
      </c>
      <c r="K209" s="15">
        <f>Tasaus[[#This Row],[Laskennallinen verotulo yhteensä, €]]/Tasaus[[#This Row],[Asukasluku 31.12.2022]]</f>
        <v>1930.5323484443254</v>
      </c>
      <c r="L209" s="34">
        <f>$K$11-Tasaus[[#This Row],[Laskennallinen verotulo yhteensä, €/asukas (=tasausraja)]]</f>
        <v>213.42765155567463</v>
      </c>
      <c r="M209" s="369">
        <f>IF(Tasaus[[#This Row],[Erotus = tasausraja - laskennallinen verotulo, €/asukas]]&gt;0,(Tasaus[[#This Row],[Erotus = tasausraja - laskennallinen verotulo, €/asukas]]*$B$7),(Tasaus[[#This Row],[Erotus = tasausraja - laskennallinen verotulo, €/asukas]]*$B$8))</f>
        <v>192.08488640010717</v>
      </c>
      <c r="N209" s="370">
        <f>Tasaus[[#This Row],[Tasaus,  €/asukas]]*Tasaus[[#This Row],[Asukasluku 31.12.2022]]</f>
        <v>572605.04635871947</v>
      </c>
      <c r="P209" s="116"/>
      <c r="Q209" s="117"/>
      <c r="R209" s="118"/>
    </row>
    <row r="210" spans="1:18">
      <c r="A210" s="266">
        <v>626</v>
      </c>
      <c r="B210" s="13" t="s">
        <v>210</v>
      </c>
      <c r="C210" s="267">
        <v>4857</v>
      </c>
      <c r="D210" s="268">
        <v>9.11</v>
      </c>
      <c r="E210" s="14">
        <v>7114784.8721194696</v>
      </c>
      <c r="F210" s="14">
        <f>Tasaus[[#This Row],[Kunnallisvero (maksuunpantu), €]]*100/Tasaus[[#This Row],[Tuloveroprosentti 2023]]</f>
        <v>78098626.477710977</v>
      </c>
      <c r="G210" s="269">
        <f>Tasaus[[#This Row],[Verotettava tulo (kunnallisvero), €]]*($D$11/100)</f>
        <v>5755868.7714073006</v>
      </c>
      <c r="H210" s="14">
        <v>1382637.3614459508</v>
      </c>
      <c r="I210" s="15">
        <v>659528.7252499999</v>
      </c>
      <c r="J210" s="15">
        <f>SUM(Tasaus[[#This Row],[Laskennallinen kunnallisvero, €]:[Laskennallinen kiinteistövero, €]])</f>
        <v>7798034.8581032511</v>
      </c>
      <c r="K210" s="15">
        <f>Tasaus[[#This Row],[Laskennallinen verotulo yhteensä, €]]/Tasaus[[#This Row],[Asukasluku 31.12.2022]]</f>
        <v>1605.5249862267349</v>
      </c>
      <c r="L210" s="34">
        <f>$K$11-Tasaus[[#This Row],[Laskennallinen verotulo yhteensä, €/asukas (=tasausraja)]]</f>
        <v>538.43501377326515</v>
      </c>
      <c r="M210" s="369">
        <f>IF(Tasaus[[#This Row],[Erotus = tasausraja - laskennallinen verotulo, €/asukas]]&gt;0,(Tasaus[[#This Row],[Erotus = tasausraja - laskennallinen verotulo, €/asukas]]*$B$7),(Tasaus[[#This Row],[Erotus = tasausraja - laskennallinen verotulo, €/asukas]]*$B$8))</f>
        <v>484.59151239593865</v>
      </c>
      <c r="N210" s="370">
        <f>Tasaus[[#This Row],[Tasaus,  €/asukas]]*Tasaus[[#This Row],[Asukasluku 31.12.2022]]</f>
        <v>2353660.9757070742</v>
      </c>
      <c r="P210" s="116"/>
      <c r="Q210" s="117"/>
      <c r="R210" s="118"/>
    </row>
    <row r="211" spans="1:18">
      <c r="A211" s="266">
        <v>630</v>
      </c>
      <c r="B211" s="13" t="s">
        <v>571</v>
      </c>
      <c r="C211" s="267">
        <v>1599</v>
      </c>
      <c r="D211" s="268">
        <v>7.1099999999999994</v>
      </c>
      <c r="E211" s="14">
        <v>1845289.7806508902</v>
      </c>
      <c r="F211" s="14">
        <f>Tasaus[[#This Row],[Kunnallisvero (maksuunpantu), €]]*100/Tasaus[[#This Row],[Tuloveroprosentti 2023]]</f>
        <v>25953442.765835308</v>
      </c>
      <c r="G211" s="269">
        <f>Tasaus[[#This Row],[Verotettava tulo (kunnallisvero), €]]*($D$11/100)</f>
        <v>1912768.7318420627</v>
      </c>
      <c r="H211" s="14">
        <v>563942.95365142799</v>
      </c>
      <c r="I211" s="15">
        <v>287332.74705000001</v>
      </c>
      <c r="J211" s="15">
        <f>SUM(Tasaus[[#This Row],[Laskennallinen kunnallisvero, €]:[Laskennallinen kiinteistövero, €]])</f>
        <v>2764044.4325434905</v>
      </c>
      <c r="K211" s="15">
        <f>Tasaus[[#This Row],[Laskennallinen verotulo yhteensä, €]]/Tasaus[[#This Row],[Asukasluku 31.12.2022]]</f>
        <v>1728.6081504337026</v>
      </c>
      <c r="L211" s="34">
        <f>$K$11-Tasaus[[#This Row],[Laskennallinen verotulo yhteensä, €/asukas (=tasausraja)]]</f>
        <v>415.35184956629746</v>
      </c>
      <c r="M211" s="369">
        <f>IF(Tasaus[[#This Row],[Erotus = tasausraja - laskennallinen verotulo, €/asukas]]&gt;0,(Tasaus[[#This Row],[Erotus = tasausraja - laskennallinen verotulo, €/asukas]]*$B$7),(Tasaus[[#This Row],[Erotus = tasausraja - laskennallinen verotulo, €/asukas]]*$B$8))</f>
        <v>373.81666460966773</v>
      </c>
      <c r="N211" s="370">
        <f>Tasaus[[#This Row],[Tasaus,  €/asukas]]*Tasaus[[#This Row],[Asukasluku 31.12.2022]]</f>
        <v>597732.84671085875</v>
      </c>
      <c r="P211" s="116"/>
      <c r="Q211" s="117"/>
      <c r="R211" s="118"/>
    </row>
    <row r="212" spans="1:18">
      <c r="A212" s="266">
        <v>631</v>
      </c>
      <c r="B212" s="13" t="s">
        <v>572</v>
      </c>
      <c r="C212" s="267">
        <v>1948</v>
      </c>
      <c r="D212" s="268">
        <v>9.11</v>
      </c>
      <c r="E212" s="14">
        <v>3516971.1145637599</v>
      </c>
      <c r="F212" s="14">
        <f>Tasaus[[#This Row],[Kunnallisvero (maksuunpantu), €]]*100/Tasaus[[#This Row],[Tuloveroprosentti 2023]]</f>
        <v>38605610.47819715</v>
      </c>
      <c r="G212" s="269">
        <f>Tasaus[[#This Row],[Verotettava tulo (kunnallisvero), €]]*($D$11/100)</f>
        <v>2845233.4922431307</v>
      </c>
      <c r="H212" s="14">
        <v>261950.49752417326</v>
      </c>
      <c r="I212" s="15">
        <v>316675.16039999999</v>
      </c>
      <c r="J212" s="15">
        <f>SUM(Tasaus[[#This Row],[Laskennallinen kunnallisvero, €]:[Laskennallinen kiinteistövero, €]])</f>
        <v>3423859.1501673041</v>
      </c>
      <c r="K212" s="15">
        <f>Tasaus[[#This Row],[Laskennallinen verotulo yhteensä, €]]/Tasaus[[#This Row],[Asukasluku 31.12.2022]]</f>
        <v>1757.6279004965627</v>
      </c>
      <c r="L212" s="34">
        <f>$K$11-Tasaus[[#This Row],[Laskennallinen verotulo yhteensä, €/asukas (=tasausraja)]]</f>
        <v>386.33209950343735</v>
      </c>
      <c r="M212" s="369">
        <f>IF(Tasaus[[#This Row],[Erotus = tasausraja - laskennallinen verotulo, €/asukas]]&gt;0,(Tasaus[[#This Row],[Erotus = tasausraja - laskennallinen verotulo, €/asukas]]*$B$7),(Tasaus[[#This Row],[Erotus = tasausraja - laskennallinen verotulo, €/asukas]]*$B$8))</f>
        <v>347.69888955309364</v>
      </c>
      <c r="N212" s="370">
        <f>Tasaus[[#This Row],[Tasaus,  €/asukas]]*Tasaus[[#This Row],[Asukasluku 31.12.2022]]</f>
        <v>677317.43684942636</v>
      </c>
      <c r="P212" s="116"/>
      <c r="Q212" s="117"/>
      <c r="R212" s="118"/>
    </row>
    <row r="213" spans="1:18">
      <c r="A213" s="266">
        <v>635</v>
      </c>
      <c r="B213" s="13" t="s">
        <v>573</v>
      </c>
      <c r="C213" s="267">
        <v>6299</v>
      </c>
      <c r="D213" s="268">
        <v>8.86</v>
      </c>
      <c r="E213" s="14">
        <v>10195205.7145267</v>
      </c>
      <c r="F213" s="14">
        <f>Tasaus[[#This Row],[Kunnallisvero (maksuunpantu), €]]*100/Tasaus[[#This Row],[Tuloveroprosentti 2023]]</f>
        <v>115070041.92468059</v>
      </c>
      <c r="G213" s="269">
        <f>Tasaus[[#This Row],[Verotettava tulo (kunnallisvero), €]]*($D$11/100)</f>
        <v>8480662.0898489617</v>
      </c>
      <c r="H213" s="14">
        <v>1148498.2313272534</v>
      </c>
      <c r="I213" s="15">
        <v>1385312.1384499997</v>
      </c>
      <c r="J213" s="15">
        <f>SUM(Tasaus[[#This Row],[Laskennallinen kunnallisvero, €]:[Laskennallinen kiinteistövero, €]])</f>
        <v>11014472.459626216</v>
      </c>
      <c r="K213" s="15">
        <f>Tasaus[[#This Row],[Laskennallinen verotulo yhteensä, €]]/Tasaus[[#This Row],[Asukasluku 31.12.2022]]</f>
        <v>1748.6065184356592</v>
      </c>
      <c r="L213" s="34">
        <f>$K$11-Tasaus[[#This Row],[Laskennallinen verotulo yhteensä, €/asukas (=tasausraja)]]</f>
        <v>395.35348156434088</v>
      </c>
      <c r="M213" s="369">
        <f>IF(Tasaus[[#This Row],[Erotus = tasausraja - laskennallinen verotulo, €/asukas]]&gt;0,(Tasaus[[#This Row],[Erotus = tasausraja - laskennallinen verotulo, €/asukas]]*$B$7),(Tasaus[[#This Row],[Erotus = tasausraja - laskennallinen verotulo, €/asukas]]*$B$8))</f>
        <v>355.81813340790683</v>
      </c>
      <c r="N213" s="370">
        <f>Tasaus[[#This Row],[Tasaus,  €/asukas]]*Tasaus[[#This Row],[Asukasluku 31.12.2022]]</f>
        <v>2241298.4223364051</v>
      </c>
      <c r="P213" s="116"/>
      <c r="Q213" s="117"/>
      <c r="R213" s="118"/>
    </row>
    <row r="214" spans="1:18">
      <c r="A214" s="266">
        <v>636</v>
      </c>
      <c r="B214" s="13" t="s">
        <v>574</v>
      </c>
      <c r="C214" s="267">
        <v>8102</v>
      </c>
      <c r="D214" s="268">
        <v>8.61</v>
      </c>
      <c r="E214" s="14">
        <v>12003551.762234898</v>
      </c>
      <c r="F214" s="14">
        <f>Tasaus[[#This Row],[Kunnallisvero (maksuunpantu), €]]*100/Tasaus[[#This Row],[Tuloveroprosentti 2023]]</f>
        <v>139414073.89355284</v>
      </c>
      <c r="G214" s="269">
        <f>Tasaus[[#This Row],[Verotettava tulo (kunnallisvero), €]]*($D$11/100)</f>
        <v>10274817.245954847</v>
      </c>
      <c r="H214" s="14">
        <v>2188379.908992161</v>
      </c>
      <c r="I214" s="15">
        <v>1164387.2449</v>
      </c>
      <c r="J214" s="15">
        <f>SUM(Tasaus[[#This Row],[Laskennallinen kunnallisvero, €]:[Laskennallinen kiinteistövero, €]])</f>
        <v>13627584.399847008</v>
      </c>
      <c r="K214" s="15">
        <f>Tasaus[[#This Row],[Laskennallinen verotulo yhteensä, €]]/Tasaus[[#This Row],[Asukasluku 31.12.2022]]</f>
        <v>1682.0025178779324</v>
      </c>
      <c r="L214" s="34">
        <f>$K$11-Tasaus[[#This Row],[Laskennallinen verotulo yhteensä, €/asukas (=tasausraja)]]</f>
        <v>461.95748212206763</v>
      </c>
      <c r="M214" s="369">
        <f>IF(Tasaus[[#This Row],[Erotus = tasausraja - laskennallinen verotulo, €/asukas]]&gt;0,(Tasaus[[#This Row],[Erotus = tasausraja - laskennallinen verotulo, €/asukas]]*$B$7),(Tasaus[[#This Row],[Erotus = tasausraja - laskennallinen verotulo, €/asukas]]*$B$8))</f>
        <v>415.76173390986088</v>
      </c>
      <c r="N214" s="370">
        <f>Tasaus[[#This Row],[Tasaus,  €/asukas]]*Tasaus[[#This Row],[Asukasluku 31.12.2022]]</f>
        <v>3368501.5681376928</v>
      </c>
      <c r="P214" s="116"/>
      <c r="Q214" s="117"/>
      <c r="R214" s="118"/>
    </row>
    <row r="215" spans="1:18">
      <c r="A215" s="266">
        <v>638</v>
      </c>
      <c r="B215" s="13" t="s">
        <v>575</v>
      </c>
      <c r="C215" s="267">
        <v>51027</v>
      </c>
      <c r="D215" s="268">
        <v>7.1099999999999994</v>
      </c>
      <c r="E215" s="14">
        <v>88279353.204430699</v>
      </c>
      <c r="F215" s="14">
        <f>Tasaus[[#This Row],[Kunnallisvero (maksuunpantu), €]]*100/Tasaus[[#This Row],[Tuloveroprosentti 2023]]</f>
        <v>1241622407.9385471</v>
      </c>
      <c r="G215" s="269">
        <f>Tasaus[[#This Row],[Verotettava tulo (kunnallisvero), €]]*($D$11/100)</f>
        <v>91507571.465070948</v>
      </c>
      <c r="H215" s="14">
        <v>22663748.384923477</v>
      </c>
      <c r="I215" s="15">
        <v>8842237.0166500006</v>
      </c>
      <c r="J215" s="15">
        <f>SUM(Tasaus[[#This Row],[Laskennallinen kunnallisvero, €]:[Laskennallinen kiinteistövero, €]])</f>
        <v>123013556.86664443</v>
      </c>
      <c r="K215" s="15">
        <f>Tasaus[[#This Row],[Laskennallinen verotulo yhteensä, €]]/Tasaus[[#This Row],[Asukasluku 31.12.2022]]</f>
        <v>2410.754245137759</v>
      </c>
      <c r="L215" s="34">
        <f>$K$11-Tasaus[[#This Row],[Laskennallinen verotulo yhteensä, €/asukas (=tasausraja)]]</f>
        <v>-266.79424513775894</v>
      </c>
      <c r="M215" s="369">
        <f>IF(Tasaus[[#This Row],[Erotus = tasausraja - laskennallinen verotulo, €/asukas]]&gt;0,(Tasaus[[#This Row],[Erotus = tasausraja - laskennallinen verotulo, €/asukas]]*$B$7),(Tasaus[[#This Row],[Erotus = tasausraja - laskennallinen verotulo, €/asukas]]*$B$8))</f>
        <v>-26.679424513775896</v>
      </c>
      <c r="N215" s="370">
        <f>Tasaus[[#This Row],[Tasaus,  €/asukas]]*Tasaus[[#This Row],[Asukasluku 31.12.2022]]</f>
        <v>-1361370.9946644427</v>
      </c>
      <c r="P215" s="116"/>
      <c r="Q215" s="117"/>
      <c r="R215" s="118"/>
    </row>
    <row r="216" spans="1:18">
      <c r="A216" s="266">
        <v>678</v>
      </c>
      <c r="B216" s="13" t="s">
        <v>576</v>
      </c>
      <c r="C216" s="267">
        <v>24004</v>
      </c>
      <c r="D216" s="268">
        <v>8.61</v>
      </c>
      <c r="E216" s="14">
        <v>40848477.76268889</v>
      </c>
      <c r="F216" s="14">
        <f>Tasaus[[#This Row],[Kunnallisvero (maksuunpantu), €]]*100/Tasaus[[#This Row],[Tuloveroprosentti 2023]]</f>
        <v>474430636.03587562</v>
      </c>
      <c r="G216" s="269">
        <f>Tasaus[[#This Row],[Verotettava tulo (kunnallisvero), €]]*($D$11/100)</f>
        <v>34965537.875844039</v>
      </c>
      <c r="H216" s="14">
        <v>10945611.747651083</v>
      </c>
      <c r="I216" s="15">
        <v>3488422.1249000002</v>
      </c>
      <c r="J216" s="15">
        <f>SUM(Tasaus[[#This Row],[Laskennallinen kunnallisvero, €]:[Laskennallinen kiinteistövero, €]])</f>
        <v>49399571.748395123</v>
      </c>
      <c r="K216" s="15">
        <f>Tasaus[[#This Row],[Laskennallinen verotulo yhteensä, €]]/Tasaus[[#This Row],[Asukasluku 31.12.2022]]</f>
        <v>2057.9724941007798</v>
      </c>
      <c r="L216" s="34">
        <f>$K$11-Tasaus[[#This Row],[Laskennallinen verotulo yhteensä, €/asukas (=tasausraja)]]</f>
        <v>85.987505899220196</v>
      </c>
      <c r="M216" s="369">
        <f>IF(Tasaus[[#This Row],[Erotus = tasausraja - laskennallinen verotulo, €/asukas]]&gt;0,(Tasaus[[#This Row],[Erotus = tasausraja - laskennallinen verotulo, €/asukas]]*$B$7),(Tasaus[[#This Row],[Erotus = tasausraja - laskennallinen verotulo, €/asukas]]*$B$8))</f>
        <v>77.388755309298176</v>
      </c>
      <c r="N216" s="370">
        <f>Tasaus[[#This Row],[Tasaus,  €/asukas]]*Tasaus[[#This Row],[Asukasluku 31.12.2022]]</f>
        <v>1857639.6824443934</v>
      </c>
      <c r="P216" s="116"/>
      <c r="Q216" s="117"/>
      <c r="R216" s="118"/>
    </row>
    <row r="217" spans="1:18">
      <c r="A217" s="266">
        <v>680</v>
      </c>
      <c r="B217" s="13" t="s">
        <v>577</v>
      </c>
      <c r="C217" s="267">
        <v>24469</v>
      </c>
      <c r="D217" s="268">
        <v>7.6099999999999994</v>
      </c>
      <c r="E217" s="14">
        <v>42785630.077331744</v>
      </c>
      <c r="F217" s="14">
        <f>Tasaus[[#This Row],[Kunnallisvero (maksuunpantu), €]]*100/Tasaus[[#This Row],[Tuloveroprosentti 2023]]</f>
        <v>562229041.7520597</v>
      </c>
      <c r="G217" s="269">
        <f>Tasaus[[#This Row],[Verotettava tulo (kunnallisvero), €]]*($D$11/100)</f>
        <v>41436280.377126805</v>
      </c>
      <c r="H217" s="14">
        <v>6259276.4664244549</v>
      </c>
      <c r="I217" s="15">
        <v>4414217.9170500003</v>
      </c>
      <c r="J217" s="15">
        <f>SUM(Tasaus[[#This Row],[Laskennallinen kunnallisvero, €]:[Laskennallinen kiinteistövero, €]])</f>
        <v>52109774.760601267</v>
      </c>
      <c r="K217" s="15">
        <f>Tasaus[[#This Row],[Laskennallinen verotulo yhteensä, €]]/Tasaus[[#This Row],[Asukasluku 31.12.2022]]</f>
        <v>2129.6242086150341</v>
      </c>
      <c r="L217" s="34">
        <f>$K$11-Tasaus[[#This Row],[Laskennallinen verotulo yhteensä, €/asukas (=tasausraja)]]</f>
        <v>14.335791384965887</v>
      </c>
      <c r="M217" s="369">
        <f>IF(Tasaus[[#This Row],[Erotus = tasausraja - laskennallinen verotulo, €/asukas]]&gt;0,(Tasaus[[#This Row],[Erotus = tasausraja - laskennallinen verotulo, €/asukas]]*$B$7),(Tasaus[[#This Row],[Erotus = tasausraja - laskennallinen verotulo, €/asukas]]*$B$8))</f>
        <v>12.902212246469299</v>
      </c>
      <c r="N217" s="370">
        <f>Tasaus[[#This Row],[Tasaus,  €/asukas]]*Tasaus[[#This Row],[Asukasluku 31.12.2022]]</f>
        <v>315704.23145885725</v>
      </c>
      <c r="P217" s="116"/>
      <c r="Q217" s="117"/>
      <c r="R217" s="118"/>
    </row>
    <row r="218" spans="1:18">
      <c r="A218" s="266">
        <v>681</v>
      </c>
      <c r="B218" s="13" t="s">
        <v>578</v>
      </c>
      <c r="C218" s="267">
        <v>3224</v>
      </c>
      <c r="D218" s="268">
        <v>9.36</v>
      </c>
      <c r="E218" s="14">
        <v>4725546.0455495603</v>
      </c>
      <c r="F218" s="14">
        <f>Tasaus[[#This Row],[Kunnallisvero (maksuunpantu), €]]*100/Tasaus[[#This Row],[Tuloveroprosentti 2023]]</f>
        <v>50486603.05074317</v>
      </c>
      <c r="G218" s="269">
        <f>Tasaus[[#This Row],[Verotettava tulo (kunnallisvero), €]]*($D$11/100)</f>
        <v>3720862.6448397725</v>
      </c>
      <c r="H218" s="14">
        <v>1084282.0488160225</v>
      </c>
      <c r="I218" s="15">
        <v>777732.8101</v>
      </c>
      <c r="J218" s="15">
        <f>SUM(Tasaus[[#This Row],[Laskennallinen kunnallisvero, €]:[Laskennallinen kiinteistövero, €]])</f>
        <v>5582877.5037557948</v>
      </c>
      <c r="K218" s="15">
        <f>Tasaus[[#This Row],[Laskennallinen verotulo yhteensä, €]]/Tasaus[[#This Row],[Asukasluku 31.12.2022]]</f>
        <v>1731.6617567480753</v>
      </c>
      <c r="L218" s="34">
        <f>$K$11-Tasaus[[#This Row],[Laskennallinen verotulo yhteensä, €/asukas (=tasausraja)]]</f>
        <v>412.29824325192476</v>
      </c>
      <c r="M218" s="369">
        <f>IF(Tasaus[[#This Row],[Erotus = tasausraja - laskennallinen verotulo, €/asukas]]&gt;0,(Tasaus[[#This Row],[Erotus = tasausraja - laskennallinen verotulo, €/asukas]]*$B$7),(Tasaus[[#This Row],[Erotus = tasausraja - laskennallinen verotulo, €/asukas]]*$B$8))</f>
        <v>371.06841892673231</v>
      </c>
      <c r="N218" s="370">
        <f>Tasaus[[#This Row],[Tasaus,  €/asukas]]*Tasaus[[#This Row],[Asukasluku 31.12.2022]]</f>
        <v>1196324.5826197849</v>
      </c>
      <c r="P218" s="116"/>
      <c r="Q218" s="117"/>
      <c r="R218" s="118"/>
    </row>
    <row r="219" spans="1:18">
      <c r="A219" s="266">
        <v>683</v>
      </c>
      <c r="B219" s="13" t="s">
        <v>579</v>
      </c>
      <c r="C219" s="267">
        <v>3576</v>
      </c>
      <c r="D219" s="268">
        <v>7.1099999999999994</v>
      </c>
      <c r="E219" s="14">
        <v>3455729.42523578</v>
      </c>
      <c r="F219" s="14">
        <f>Tasaus[[#This Row],[Kunnallisvero (maksuunpantu), €]]*100/Tasaus[[#This Row],[Tuloveroprosentti 2023]]</f>
        <v>48603789.384469479</v>
      </c>
      <c r="G219" s="269">
        <f>Tasaus[[#This Row],[Verotettava tulo (kunnallisvero), €]]*($D$11/100)</f>
        <v>3582099.2776354016</v>
      </c>
      <c r="H219" s="14">
        <v>607348.19112890039</v>
      </c>
      <c r="I219" s="15">
        <v>599558.12105000007</v>
      </c>
      <c r="J219" s="15">
        <f>SUM(Tasaus[[#This Row],[Laskennallinen kunnallisvero, €]:[Laskennallinen kiinteistövero, €]])</f>
        <v>4789005.5898143016</v>
      </c>
      <c r="K219" s="15">
        <f>Tasaus[[#This Row],[Laskennallinen verotulo yhteensä, €]]/Tasaus[[#This Row],[Asukasluku 31.12.2022]]</f>
        <v>1339.2073797019859</v>
      </c>
      <c r="L219" s="34">
        <f>$K$11-Tasaus[[#This Row],[Laskennallinen verotulo yhteensä, €/asukas (=tasausraja)]]</f>
        <v>804.75262029801411</v>
      </c>
      <c r="M219" s="369">
        <f>IF(Tasaus[[#This Row],[Erotus = tasausraja - laskennallinen verotulo, €/asukas]]&gt;0,(Tasaus[[#This Row],[Erotus = tasausraja - laskennallinen verotulo, €/asukas]]*$B$7),(Tasaus[[#This Row],[Erotus = tasausraja - laskennallinen verotulo, €/asukas]]*$B$8))</f>
        <v>724.27735826821277</v>
      </c>
      <c r="N219" s="370">
        <f>Tasaus[[#This Row],[Tasaus,  €/asukas]]*Tasaus[[#This Row],[Asukasluku 31.12.2022]]</f>
        <v>2590015.8331671287</v>
      </c>
      <c r="P219" s="116"/>
      <c r="Q219" s="117"/>
      <c r="R219" s="118"/>
    </row>
    <row r="220" spans="1:18">
      <c r="A220" s="266">
        <v>684</v>
      </c>
      <c r="B220" s="13" t="s">
        <v>580</v>
      </c>
      <c r="C220" s="267">
        <v>38789</v>
      </c>
      <c r="D220" s="268">
        <v>8.36</v>
      </c>
      <c r="E220" s="14">
        <v>69162371.474707484</v>
      </c>
      <c r="F220" s="14">
        <f>Tasaus[[#This Row],[Kunnallisvero (maksuunpantu), €]]*100/Tasaus[[#This Row],[Tuloveroprosentti 2023]]</f>
        <v>827301094.19506574</v>
      </c>
      <c r="G220" s="269">
        <f>Tasaus[[#This Row],[Verotettava tulo (kunnallisvero), €]]*($D$11/100)</f>
        <v>60972090.64217636</v>
      </c>
      <c r="H220" s="14">
        <v>14856796.911709277</v>
      </c>
      <c r="I220" s="15">
        <v>6093464.2537500001</v>
      </c>
      <c r="J220" s="15">
        <f>SUM(Tasaus[[#This Row],[Laskennallinen kunnallisvero, €]:[Laskennallinen kiinteistövero, €]])</f>
        <v>81922351.807635635</v>
      </c>
      <c r="K220" s="15">
        <f>Tasaus[[#This Row],[Laskennallinen verotulo yhteensä, €]]/Tasaus[[#This Row],[Asukasluku 31.12.2022]]</f>
        <v>2111.999582552673</v>
      </c>
      <c r="L220" s="34">
        <f>$K$11-Tasaus[[#This Row],[Laskennallinen verotulo yhteensä, €/asukas (=tasausraja)]]</f>
        <v>31.960417447327018</v>
      </c>
      <c r="M220" s="369">
        <f>IF(Tasaus[[#This Row],[Erotus = tasausraja - laskennallinen verotulo, €/asukas]]&gt;0,(Tasaus[[#This Row],[Erotus = tasausraja - laskennallinen verotulo, €/asukas]]*$B$7),(Tasaus[[#This Row],[Erotus = tasausraja - laskennallinen verotulo, €/asukas]]*$B$8))</f>
        <v>28.764375702594318</v>
      </c>
      <c r="N220" s="370">
        <f>Tasaus[[#This Row],[Tasaus,  €/asukas]]*Tasaus[[#This Row],[Asukasluku 31.12.2022]]</f>
        <v>1115741.3691279311</v>
      </c>
      <c r="P220" s="116"/>
      <c r="Q220" s="117"/>
      <c r="R220" s="118"/>
    </row>
    <row r="221" spans="1:18">
      <c r="A221" s="266">
        <v>686</v>
      </c>
      <c r="B221" s="13" t="s">
        <v>581</v>
      </c>
      <c r="C221" s="267">
        <v>2960</v>
      </c>
      <c r="D221" s="268">
        <v>9.360000000000003</v>
      </c>
      <c r="E221" s="14">
        <v>4587074.7922460297</v>
      </c>
      <c r="F221" s="14">
        <f>Tasaus[[#This Row],[Kunnallisvero (maksuunpantu), €]]*100/Tasaus[[#This Row],[Tuloveroprosentti 2023]]</f>
        <v>49007209.318867825</v>
      </c>
      <c r="G221" s="269">
        <f>Tasaus[[#This Row],[Verotettava tulo (kunnallisvero), €]]*($D$11/100)</f>
        <v>3611831.3268005596</v>
      </c>
      <c r="H221" s="14">
        <v>630248.43738369166</v>
      </c>
      <c r="I221" s="15">
        <v>592175.50615000003</v>
      </c>
      <c r="J221" s="15">
        <f>SUM(Tasaus[[#This Row],[Laskennallinen kunnallisvero, €]:[Laskennallinen kiinteistövero, €]])</f>
        <v>4834255.2703342512</v>
      </c>
      <c r="K221" s="15">
        <f>Tasaus[[#This Row],[Laskennallinen verotulo yhteensä, €]]/Tasaus[[#This Row],[Asukasluku 31.12.2022]]</f>
        <v>1633.1943480858956</v>
      </c>
      <c r="L221" s="34">
        <f>$K$11-Tasaus[[#This Row],[Laskennallinen verotulo yhteensä, €/asukas (=tasausraja)]]</f>
        <v>510.76565191410441</v>
      </c>
      <c r="M221" s="369">
        <f>IF(Tasaus[[#This Row],[Erotus = tasausraja - laskennallinen verotulo, €/asukas]]&gt;0,(Tasaus[[#This Row],[Erotus = tasausraja - laskennallinen verotulo, €/asukas]]*$B$7),(Tasaus[[#This Row],[Erotus = tasausraja - laskennallinen verotulo, €/asukas]]*$B$8))</f>
        <v>459.68908672269396</v>
      </c>
      <c r="N221" s="370">
        <f>Tasaus[[#This Row],[Tasaus,  €/asukas]]*Tasaus[[#This Row],[Asukasluku 31.12.2022]]</f>
        <v>1360679.6966991741</v>
      </c>
      <c r="P221" s="116"/>
      <c r="Q221" s="117"/>
      <c r="R221" s="118"/>
    </row>
    <row r="222" spans="1:18">
      <c r="A222" s="266">
        <v>687</v>
      </c>
      <c r="B222" s="13" t="s">
        <v>582</v>
      </c>
      <c r="C222" s="267">
        <v>1496</v>
      </c>
      <c r="D222" s="268">
        <v>9.36</v>
      </c>
      <c r="E222" s="14">
        <v>1793080.7888639097</v>
      </c>
      <c r="F222" s="14">
        <f>Tasaus[[#This Row],[Kunnallisvero (maksuunpantu), €]]*100/Tasaus[[#This Row],[Tuloveroprosentti 2023]]</f>
        <v>19156846.034870829</v>
      </c>
      <c r="G222" s="269">
        <f>Tasaus[[#This Row],[Verotettava tulo (kunnallisvero), €]]*($D$11/100)</f>
        <v>1411859.5527699804</v>
      </c>
      <c r="H222" s="14">
        <v>1083191.5696810621</v>
      </c>
      <c r="I222" s="15">
        <v>217172.21749999997</v>
      </c>
      <c r="J222" s="15">
        <f>SUM(Tasaus[[#This Row],[Laskennallinen kunnallisvero, €]:[Laskennallinen kiinteistövero, €]])</f>
        <v>2712223.3399510426</v>
      </c>
      <c r="K222" s="15">
        <f>Tasaus[[#This Row],[Laskennallinen verotulo yhteensä, €]]/Tasaus[[#This Row],[Asukasluku 31.12.2022]]</f>
        <v>1812.9835160100552</v>
      </c>
      <c r="L222" s="34">
        <f>$K$11-Tasaus[[#This Row],[Laskennallinen verotulo yhteensä, €/asukas (=tasausraja)]]</f>
        <v>330.97648398994488</v>
      </c>
      <c r="M222" s="369">
        <f>IF(Tasaus[[#This Row],[Erotus = tasausraja - laskennallinen verotulo, €/asukas]]&gt;0,(Tasaus[[#This Row],[Erotus = tasausraja - laskennallinen verotulo, €/asukas]]*$B$7),(Tasaus[[#This Row],[Erotus = tasausraja - laskennallinen verotulo, €/asukas]]*$B$8))</f>
        <v>297.87883559095042</v>
      </c>
      <c r="N222" s="370">
        <f>Tasaus[[#This Row],[Tasaus,  €/asukas]]*Tasaus[[#This Row],[Asukasluku 31.12.2022]]</f>
        <v>445626.73804406181</v>
      </c>
      <c r="P222" s="116"/>
      <c r="Q222" s="117"/>
      <c r="R222" s="118"/>
    </row>
    <row r="223" spans="1:18">
      <c r="A223" s="266">
        <v>689</v>
      </c>
      <c r="B223" s="13" t="s">
        <v>583</v>
      </c>
      <c r="C223" s="267">
        <v>2993</v>
      </c>
      <c r="D223" s="268">
        <v>8.36</v>
      </c>
      <c r="E223" s="14">
        <v>4496296.1819589799</v>
      </c>
      <c r="F223" s="14">
        <f>Tasaus[[#This Row],[Kunnallisvero (maksuunpantu), €]]*100/Tasaus[[#This Row],[Tuloveroprosentti 2023]]</f>
        <v>53783447.152619384</v>
      </c>
      <c r="G223" s="269">
        <f>Tasaus[[#This Row],[Verotettava tulo (kunnallisvero), €]]*($D$11/100)</f>
        <v>3963840.0551480493</v>
      </c>
      <c r="H223" s="14">
        <v>2185187.9568751482</v>
      </c>
      <c r="I223" s="15">
        <v>445342.04464999994</v>
      </c>
      <c r="J223" s="15">
        <f>SUM(Tasaus[[#This Row],[Laskennallinen kunnallisvero, €]:[Laskennallinen kiinteistövero, €]])</f>
        <v>6594370.0566731971</v>
      </c>
      <c r="K223" s="15">
        <f>Tasaus[[#This Row],[Laskennallinen verotulo yhteensä, €]]/Tasaus[[#This Row],[Asukasluku 31.12.2022]]</f>
        <v>2203.2643022630127</v>
      </c>
      <c r="L223" s="34">
        <f>$K$11-Tasaus[[#This Row],[Laskennallinen verotulo yhteensä, €/asukas (=tasausraja)]]</f>
        <v>-59.304302263012687</v>
      </c>
      <c r="M223" s="369">
        <f>IF(Tasaus[[#This Row],[Erotus = tasausraja - laskennallinen verotulo, €/asukas]]&gt;0,(Tasaus[[#This Row],[Erotus = tasausraja - laskennallinen verotulo, €/asukas]]*$B$7),(Tasaus[[#This Row],[Erotus = tasausraja - laskennallinen verotulo, €/asukas]]*$B$8))</f>
        <v>-5.9304302263012687</v>
      </c>
      <c r="N223" s="370">
        <f>Tasaus[[#This Row],[Tasaus,  €/asukas]]*Tasaus[[#This Row],[Asukasluku 31.12.2022]]</f>
        <v>-17749.777667319697</v>
      </c>
      <c r="P223" s="116"/>
      <c r="Q223" s="117"/>
      <c r="R223" s="118"/>
    </row>
    <row r="224" spans="1:18">
      <c r="A224" s="266">
        <v>691</v>
      </c>
      <c r="B224" s="13" t="s">
        <v>584</v>
      </c>
      <c r="C224" s="267">
        <v>2642</v>
      </c>
      <c r="D224" s="268">
        <v>9.86</v>
      </c>
      <c r="E224" s="14">
        <v>3883517.9807775398</v>
      </c>
      <c r="F224" s="14">
        <f>Tasaus[[#This Row],[Kunnallisvero (maksuunpantu), €]]*100/Tasaus[[#This Row],[Tuloveroprosentti 2023]]</f>
        <v>39386592.097135291</v>
      </c>
      <c r="G224" s="269">
        <f>Tasaus[[#This Row],[Verotettava tulo (kunnallisvero), €]]*($D$11/100)</f>
        <v>2902791.8375588716</v>
      </c>
      <c r="H224" s="14">
        <v>377409.42508560611</v>
      </c>
      <c r="I224" s="15">
        <v>348099.54329999996</v>
      </c>
      <c r="J224" s="15">
        <f>SUM(Tasaus[[#This Row],[Laskennallinen kunnallisvero, €]:[Laskennallinen kiinteistövero, €]])</f>
        <v>3628300.8059444777</v>
      </c>
      <c r="K224" s="15">
        <f>Tasaus[[#This Row],[Laskennallinen verotulo yhteensä, €]]/Tasaus[[#This Row],[Asukasluku 31.12.2022]]</f>
        <v>1373.3159749979097</v>
      </c>
      <c r="L224" s="34">
        <f>$K$11-Tasaus[[#This Row],[Laskennallinen verotulo yhteensä, €/asukas (=tasausraja)]]</f>
        <v>770.6440250020903</v>
      </c>
      <c r="M224" s="369">
        <f>IF(Tasaus[[#This Row],[Erotus = tasausraja - laskennallinen verotulo, €/asukas]]&gt;0,(Tasaus[[#This Row],[Erotus = tasausraja - laskennallinen verotulo, €/asukas]]*$B$7),(Tasaus[[#This Row],[Erotus = tasausraja - laskennallinen verotulo, €/asukas]]*$B$8))</f>
        <v>693.57962250188132</v>
      </c>
      <c r="N224" s="370">
        <f>Tasaus[[#This Row],[Tasaus,  €/asukas]]*Tasaus[[#This Row],[Asukasluku 31.12.2022]]</f>
        <v>1832437.3626499705</v>
      </c>
      <c r="P224" s="116"/>
      <c r="Q224" s="117"/>
      <c r="R224" s="118"/>
    </row>
    <row r="225" spans="1:18">
      <c r="A225" s="266">
        <v>694</v>
      </c>
      <c r="B225" s="13" t="s">
        <v>585</v>
      </c>
      <c r="C225" s="267">
        <v>28489</v>
      </c>
      <c r="D225" s="268">
        <v>7.8599999999999994</v>
      </c>
      <c r="E225" s="14">
        <v>48495107.866022438</v>
      </c>
      <c r="F225" s="14">
        <f>Tasaus[[#This Row],[Kunnallisvero (maksuunpantu), €]]*100/Tasaus[[#This Row],[Tuloveroprosentti 2023]]</f>
        <v>616986105.16567981</v>
      </c>
      <c r="G225" s="269">
        <f>Tasaus[[#This Row],[Verotettava tulo (kunnallisvero), €]]*($D$11/100)</f>
        <v>45471875.95071061</v>
      </c>
      <c r="H225" s="14">
        <v>10768559.65207809</v>
      </c>
      <c r="I225" s="15">
        <v>4418409.3366</v>
      </c>
      <c r="J225" s="15">
        <f>SUM(Tasaus[[#This Row],[Laskennallinen kunnallisvero, €]:[Laskennallinen kiinteistövero, €]])</f>
        <v>60658844.9393887</v>
      </c>
      <c r="K225" s="15">
        <f>Tasaus[[#This Row],[Laskennallinen verotulo yhteensä, €]]/Tasaus[[#This Row],[Asukasluku 31.12.2022]]</f>
        <v>2129.2023215763525</v>
      </c>
      <c r="L225" s="34">
        <f>$K$11-Tasaus[[#This Row],[Laskennallinen verotulo yhteensä, €/asukas (=tasausraja)]]</f>
        <v>14.757678423647576</v>
      </c>
      <c r="M225" s="369">
        <f>IF(Tasaus[[#This Row],[Erotus = tasausraja - laskennallinen verotulo, €/asukas]]&gt;0,(Tasaus[[#This Row],[Erotus = tasausraja - laskennallinen verotulo, €/asukas]]*$B$7),(Tasaus[[#This Row],[Erotus = tasausraja - laskennallinen verotulo, €/asukas]]*$B$8))</f>
        <v>13.281910581282819</v>
      </c>
      <c r="N225" s="370">
        <f>Tasaus[[#This Row],[Tasaus,  €/asukas]]*Tasaus[[#This Row],[Asukasluku 31.12.2022]]</f>
        <v>378388.35055016621</v>
      </c>
      <c r="P225" s="116"/>
      <c r="Q225" s="117"/>
      <c r="R225" s="118"/>
    </row>
    <row r="226" spans="1:18">
      <c r="A226" s="266">
        <v>697</v>
      </c>
      <c r="B226" s="13" t="s">
        <v>586</v>
      </c>
      <c r="C226" s="267">
        <v>1201</v>
      </c>
      <c r="D226" s="268">
        <v>8.86</v>
      </c>
      <c r="E226" s="14">
        <v>1788925.7479950497</v>
      </c>
      <c r="F226" s="14">
        <f>Tasaus[[#This Row],[Kunnallisvero (maksuunpantu), €]]*100/Tasaus[[#This Row],[Tuloveroprosentti 2023]]</f>
        <v>20191035.530418169</v>
      </c>
      <c r="G226" s="269">
        <f>Tasaus[[#This Row],[Verotettava tulo (kunnallisvero), €]]*($D$11/100)</f>
        <v>1488079.3185918194</v>
      </c>
      <c r="H226" s="14">
        <v>355374.11154567444</v>
      </c>
      <c r="I226" s="15">
        <v>212450.25060000003</v>
      </c>
      <c r="J226" s="15">
        <f>SUM(Tasaus[[#This Row],[Laskennallinen kunnallisvero, €]:[Laskennallinen kiinteistövero, €]])</f>
        <v>2055903.680737494</v>
      </c>
      <c r="K226" s="15">
        <f>Tasaus[[#This Row],[Laskennallinen verotulo yhteensä, €]]/Tasaus[[#This Row],[Asukasluku 31.12.2022]]</f>
        <v>1711.8265451602781</v>
      </c>
      <c r="L226" s="34">
        <f>$K$11-Tasaus[[#This Row],[Laskennallinen verotulo yhteensä, €/asukas (=tasausraja)]]</f>
        <v>432.13345483972194</v>
      </c>
      <c r="M226" s="369">
        <f>IF(Tasaus[[#This Row],[Erotus = tasausraja - laskennallinen verotulo, €/asukas]]&gt;0,(Tasaus[[#This Row],[Erotus = tasausraja - laskennallinen verotulo, €/asukas]]*$B$7),(Tasaus[[#This Row],[Erotus = tasausraja - laskennallinen verotulo, €/asukas]]*$B$8))</f>
        <v>388.92010935574973</v>
      </c>
      <c r="N226" s="370">
        <f>Tasaus[[#This Row],[Tasaus,  €/asukas]]*Tasaus[[#This Row],[Asukasluku 31.12.2022]]</f>
        <v>467093.05133625545</v>
      </c>
      <c r="P226" s="116"/>
      <c r="Q226" s="117"/>
      <c r="R226" s="118"/>
    </row>
    <row r="227" spans="1:18">
      <c r="A227" s="266">
        <v>698</v>
      </c>
      <c r="B227" s="13" t="s">
        <v>587</v>
      </c>
      <c r="C227" s="267">
        <v>64305</v>
      </c>
      <c r="D227" s="268">
        <v>8.86</v>
      </c>
      <c r="E227" s="14">
        <v>115362993.5113651</v>
      </c>
      <c r="F227" s="14">
        <f>Tasaus[[#This Row],[Kunnallisvero (maksuunpantu), €]]*100/Tasaus[[#This Row],[Tuloveroprosentti 2023]]</f>
        <v>1302065389.5187936</v>
      </c>
      <c r="G227" s="269">
        <f>Tasaus[[#This Row],[Verotettava tulo (kunnallisvero), €]]*($D$11/100)</f>
        <v>95962219.207535103</v>
      </c>
      <c r="H227" s="14">
        <v>11840603.179609781</v>
      </c>
      <c r="I227" s="15">
        <v>10677127.535449998</v>
      </c>
      <c r="J227" s="15">
        <f>SUM(Tasaus[[#This Row],[Laskennallinen kunnallisvero, €]:[Laskennallinen kiinteistövero, €]])</f>
        <v>118479949.92259488</v>
      </c>
      <c r="K227" s="15">
        <f>Tasaus[[#This Row],[Laskennallinen verotulo yhteensä, €]]/Tasaus[[#This Row],[Asukasluku 31.12.2022]]</f>
        <v>1842.4687026295758</v>
      </c>
      <c r="L227" s="34">
        <f>$K$11-Tasaus[[#This Row],[Laskennallinen verotulo yhteensä, €/asukas (=tasausraja)]]</f>
        <v>301.49129737042426</v>
      </c>
      <c r="M227" s="369">
        <f>IF(Tasaus[[#This Row],[Erotus = tasausraja - laskennallinen verotulo, €/asukas]]&gt;0,(Tasaus[[#This Row],[Erotus = tasausraja - laskennallinen verotulo, €/asukas]]*$B$7),(Tasaus[[#This Row],[Erotus = tasausraja - laskennallinen verotulo, €/asukas]]*$B$8))</f>
        <v>271.34216763338185</v>
      </c>
      <c r="N227" s="370">
        <f>Tasaus[[#This Row],[Tasaus,  €/asukas]]*Tasaus[[#This Row],[Asukasluku 31.12.2022]]</f>
        <v>17448658.089664619</v>
      </c>
      <c r="P227" s="116"/>
      <c r="Q227" s="117"/>
      <c r="R227" s="118"/>
    </row>
    <row r="228" spans="1:18">
      <c r="A228" s="266">
        <v>700</v>
      </c>
      <c r="B228" s="13" t="s">
        <v>588</v>
      </c>
      <c r="C228" s="267">
        <v>4774</v>
      </c>
      <c r="D228" s="268">
        <v>7.8599999999999994</v>
      </c>
      <c r="E228" s="14">
        <v>7509513.7546611689</v>
      </c>
      <c r="F228" s="14">
        <f>Tasaus[[#This Row],[Kunnallisvero (maksuunpantu), €]]*100/Tasaus[[#This Row],[Tuloveroprosentti 2023]]</f>
        <v>95540887.463882565</v>
      </c>
      <c r="G228" s="269">
        <f>Tasaus[[#This Row],[Verotettava tulo (kunnallisvero), €]]*($D$11/100)</f>
        <v>7041363.4060881464</v>
      </c>
      <c r="H228" s="14">
        <v>1236685.7750629778</v>
      </c>
      <c r="I228" s="15">
        <v>1110597.2811</v>
      </c>
      <c r="J228" s="15">
        <f>SUM(Tasaus[[#This Row],[Laskennallinen kunnallisvero, €]:[Laskennallinen kiinteistövero, €]])</f>
        <v>9388646.462251123</v>
      </c>
      <c r="K228" s="15">
        <f>Tasaus[[#This Row],[Laskennallinen verotulo yhteensä, €]]/Tasaus[[#This Row],[Asukasluku 31.12.2022]]</f>
        <v>1966.6205408988528</v>
      </c>
      <c r="L228" s="34">
        <f>$K$11-Tasaus[[#This Row],[Laskennallinen verotulo yhteensä, €/asukas (=tasausraja)]]</f>
        <v>177.33945910114721</v>
      </c>
      <c r="M228" s="369">
        <f>IF(Tasaus[[#This Row],[Erotus = tasausraja - laskennallinen verotulo, €/asukas]]&gt;0,(Tasaus[[#This Row],[Erotus = tasausraja - laskennallinen verotulo, €/asukas]]*$B$7),(Tasaus[[#This Row],[Erotus = tasausraja - laskennallinen verotulo, €/asukas]]*$B$8))</f>
        <v>159.60551319103249</v>
      </c>
      <c r="N228" s="370">
        <f>Tasaus[[#This Row],[Tasaus,  €/asukas]]*Tasaus[[#This Row],[Asukasluku 31.12.2022]]</f>
        <v>761956.71997398906</v>
      </c>
      <c r="P228" s="116"/>
      <c r="Q228" s="117"/>
      <c r="R228" s="118"/>
    </row>
    <row r="229" spans="1:18">
      <c r="A229" s="266">
        <v>702</v>
      </c>
      <c r="B229" s="13" t="s">
        <v>589</v>
      </c>
      <c r="C229" s="267">
        <v>4045</v>
      </c>
      <c r="D229" s="268">
        <v>9.36</v>
      </c>
      <c r="E229" s="14">
        <v>6205734.1915932298</v>
      </c>
      <c r="F229" s="14">
        <f>Tasaus[[#This Row],[Kunnallisvero (maksuunpantu), €]]*100/Tasaus[[#This Row],[Tuloveroprosentti 2023]]</f>
        <v>66300578.970013142</v>
      </c>
      <c r="G229" s="269">
        <f>Tasaus[[#This Row],[Verotettava tulo (kunnallisvero), €]]*($D$11/100)</f>
        <v>4886352.6700899694</v>
      </c>
      <c r="H229" s="14">
        <v>1365534.7462694198</v>
      </c>
      <c r="I229" s="15">
        <v>976951.15085000009</v>
      </c>
      <c r="J229" s="15">
        <f>SUM(Tasaus[[#This Row],[Laskennallinen kunnallisvero, €]:[Laskennallinen kiinteistövero, €]])</f>
        <v>7228838.5672093891</v>
      </c>
      <c r="K229" s="15">
        <f>Tasaus[[#This Row],[Laskennallinen verotulo yhteensä, €]]/Tasaus[[#This Row],[Asukasluku 31.12.2022]]</f>
        <v>1787.1047137724076</v>
      </c>
      <c r="L229" s="34">
        <f>$K$11-Tasaus[[#This Row],[Laskennallinen verotulo yhteensä, €/asukas (=tasausraja)]]</f>
        <v>356.85528622759239</v>
      </c>
      <c r="M229" s="369">
        <f>IF(Tasaus[[#This Row],[Erotus = tasausraja - laskennallinen verotulo, €/asukas]]&gt;0,(Tasaus[[#This Row],[Erotus = tasausraja - laskennallinen verotulo, €/asukas]]*$B$7),(Tasaus[[#This Row],[Erotus = tasausraja - laskennallinen verotulo, €/asukas]]*$B$8))</f>
        <v>321.16975760483314</v>
      </c>
      <c r="N229" s="370">
        <f>Tasaus[[#This Row],[Tasaus,  €/asukas]]*Tasaus[[#This Row],[Asukasluku 31.12.2022]]</f>
        <v>1299131.6695115501</v>
      </c>
      <c r="P229" s="116"/>
      <c r="Q229" s="117"/>
      <c r="R229" s="118"/>
    </row>
    <row r="230" spans="1:18">
      <c r="A230" s="266">
        <v>704</v>
      </c>
      <c r="B230" s="13" t="s">
        <v>590</v>
      </c>
      <c r="C230" s="267">
        <v>6461</v>
      </c>
      <c r="D230" s="268">
        <v>7.1099999999999994</v>
      </c>
      <c r="E230" s="14">
        <v>10344064.570002379</v>
      </c>
      <c r="F230" s="14">
        <f>Tasaus[[#This Row],[Kunnallisvero (maksuunpantu), €]]*100/Tasaus[[#This Row],[Tuloveroprosentti 2023]]</f>
        <v>145486140.22506863</v>
      </c>
      <c r="G230" s="269">
        <f>Tasaus[[#This Row],[Verotettava tulo (kunnallisvero), €]]*($D$11/100)</f>
        <v>10722328.53458756</v>
      </c>
      <c r="H230" s="14">
        <v>860284.94635638385</v>
      </c>
      <c r="I230" s="15">
        <v>805935.06075000006</v>
      </c>
      <c r="J230" s="15">
        <f>SUM(Tasaus[[#This Row],[Laskennallinen kunnallisvero, €]:[Laskennallinen kiinteistövero, €]])</f>
        <v>12388548.541693944</v>
      </c>
      <c r="K230" s="15">
        <f>Tasaus[[#This Row],[Laskennallinen verotulo yhteensä, €]]/Tasaus[[#This Row],[Asukasluku 31.12.2022]]</f>
        <v>1917.4351558108565</v>
      </c>
      <c r="L230" s="34">
        <f>$K$11-Tasaus[[#This Row],[Laskennallinen verotulo yhteensä, €/asukas (=tasausraja)]]</f>
        <v>226.52484418914355</v>
      </c>
      <c r="M230" s="369">
        <f>IF(Tasaus[[#This Row],[Erotus = tasausraja - laskennallinen verotulo, €/asukas]]&gt;0,(Tasaus[[#This Row],[Erotus = tasausraja - laskennallinen verotulo, €/asukas]]*$B$7),(Tasaus[[#This Row],[Erotus = tasausraja - laskennallinen verotulo, €/asukas]]*$B$8))</f>
        <v>203.8723597702292</v>
      </c>
      <c r="N230" s="370">
        <f>Tasaus[[#This Row],[Tasaus,  €/asukas]]*Tasaus[[#This Row],[Asukasluku 31.12.2022]]</f>
        <v>1317219.3164754508</v>
      </c>
      <c r="P230" s="116"/>
      <c r="Q230" s="117"/>
      <c r="R230" s="118"/>
    </row>
    <row r="231" spans="1:18">
      <c r="A231" s="266">
        <v>707</v>
      </c>
      <c r="B231" s="13" t="s">
        <v>591</v>
      </c>
      <c r="C231" s="267">
        <v>1982</v>
      </c>
      <c r="D231" s="268">
        <v>8.860000000000003</v>
      </c>
      <c r="E231" s="14">
        <v>2298550.5432582702</v>
      </c>
      <c r="F231" s="14">
        <f>Tasaus[[#This Row],[Kunnallisvero (maksuunpantu), €]]*100/Tasaus[[#This Row],[Tuloveroprosentti 2023]]</f>
        <v>25943008.388919521</v>
      </c>
      <c r="G231" s="269">
        <f>Tasaus[[#This Row],[Verotettava tulo (kunnallisvero), €]]*($D$11/100)</f>
        <v>1911999.7182633691</v>
      </c>
      <c r="H231" s="14">
        <v>404719.16840058751</v>
      </c>
      <c r="I231" s="15">
        <v>376903.78609999997</v>
      </c>
      <c r="J231" s="15">
        <f>SUM(Tasaus[[#This Row],[Laskennallinen kunnallisvero, €]:[Laskennallinen kiinteistövero, €]])</f>
        <v>2693622.6727639567</v>
      </c>
      <c r="K231" s="15">
        <f>Tasaus[[#This Row],[Laskennallinen verotulo yhteensä, €]]/Tasaus[[#This Row],[Asukasluku 31.12.2022]]</f>
        <v>1359.0427208698065</v>
      </c>
      <c r="L231" s="34">
        <f>$K$11-Tasaus[[#This Row],[Laskennallinen verotulo yhteensä, €/asukas (=tasausraja)]]</f>
        <v>784.91727913019349</v>
      </c>
      <c r="M231" s="369">
        <f>IF(Tasaus[[#This Row],[Erotus = tasausraja - laskennallinen verotulo, €/asukas]]&gt;0,(Tasaus[[#This Row],[Erotus = tasausraja - laskennallinen verotulo, €/asukas]]*$B$7),(Tasaus[[#This Row],[Erotus = tasausraja - laskennallinen verotulo, €/asukas]]*$B$8))</f>
        <v>706.42555121717419</v>
      </c>
      <c r="N231" s="370">
        <f>Tasaus[[#This Row],[Tasaus,  €/asukas]]*Tasaus[[#This Row],[Asukasluku 31.12.2022]]</f>
        <v>1400135.4425124393</v>
      </c>
      <c r="P231" s="116"/>
      <c r="Q231" s="117"/>
      <c r="R231" s="118"/>
    </row>
    <row r="232" spans="1:18">
      <c r="A232" s="266">
        <v>710</v>
      </c>
      <c r="B232" s="13" t="s">
        <v>232</v>
      </c>
      <c r="C232" s="267">
        <v>27180</v>
      </c>
      <c r="D232" s="268">
        <v>9.36</v>
      </c>
      <c r="E232" s="14">
        <v>51537320.397831239</v>
      </c>
      <c r="F232" s="14">
        <f>Tasaus[[#This Row],[Kunnallisvero (maksuunpantu), €]]*100/Tasaus[[#This Row],[Tuloveroprosentti 2023]]</f>
        <v>550612397.412727</v>
      </c>
      <c r="G232" s="269">
        <f>Tasaus[[#This Row],[Verotettava tulo (kunnallisvero), €]]*($D$11/100)</f>
        <v>40580133.689317986</v>
      </c>
      <c r="H232" s="14">
        <v>3810559.3715050486</v>
      </c>
      <c r="I232" s="15">
        <v>5626659.2942000004</v>
      </c>
      <c r="J232" s="15">
        <f>SUM(Tasaus[[#This Row],[Laskennallinen kunnallisvero, €]:[Laskennallinen kiinteistövero, €]])</f>
        <v>50017352.355023041</v>
      </c>
      <c r="K232" s="15">
        <f>Tasaus[[#This Row],[Laskennallinen verotulo yhteensä, €]]/Tasaus[[#This Row],[Asukasluku 31.12.2022]]</f>
        <v>1840.2263559611126</v>
      </c>
      <c r="L232" s="34">
        <f>$K$11-Tasaus[[#This Row],[Laskennallinen verotulo yhteensä, €/asukas (=tasausraja)]]</f>
        <v>303.73364403888741</v>
      </c>
      <c r="M232" s="369">
        <f>IF(Tasaus[[#This Row],[Erotus = tasausraja - laskennallinen verotulo, €/asukas]]&gt;0,(Tasaus[[#This Row],[Erotus = tasausraja - laskennallinen verotulo, €/asukas]]*$B$7),(Tasaus[[#This Row],[Erotus = tasausraja - laskennallinen verotulo, €/asukas]]*$B$8))</f>
        <v>273.36027963499868</v>
      </c>
      <c r="N232" s="370">
        <f>Tasaus[[#This Row],[Tasaus,  €/asukas]]*Tasaus[[#This Row],[Asukasluku 31.12.2022]]</f>
        <v>7429932.4004792636</v>
      </c>
      <c r="P232" s="116"/>
      <c r="Q232" s="117"/>
      <c r="R232" s="118"/>
    </row>
    <row r="233" spans="1:18">
      <c r="A233" s="266">
        <v>729</v>
      </c>
      <c r="B233" s="13" t="s">
        <v>592</v>
      </c>
      <c r="C233" s="267">
        <v>8955</v>
      </c>
      <c r="D233" s="268">
        <v>9.360000000000003</v>
      </c>
      <c r="E233" s="14">
        <v>12912512.115785729</v>
      </c>
      <c r="F233" s="14">
        <f>Tasaus[[#This Row],[Kunnallisvero (maksuunpantu), €]]*100/Tasaus[[#This Row],[Tuloveroprosentti 2023]]</f>
        <v>137954189.27121502</v>
      </c>
      <c r="G233" s="269">
        <f>Tasaus[[#This Row],[Verotettava tulo (kunnallisvero), €]]*($D$11/100)</f>
        <v>10167223.74928855</v>
      </c>
      <c r="H233" s="14">
        <v>1868426.3596952686</v>
      </c>
      <c r="I233" s="15">
        <v>1567641.9521000003</v>
      </c>
      <c r="J233" s="15">
        <f>SUM(Tasaus[[#This Row],[Laskennallinen kunnallisvero, €]:[Laskennallinen kiinteistövero, €]])</f>
        <v>13603292.06108382</v>
      </c>
      <c r="K233" s="15">
        <f>Tasaus[[#This Row],[Laskennallinen verotulo yhteensä, €]]/Tasaus[[#This Row],[Asukasluku 31.12.2022]]</f>
        <v>1519.072256960784</v>
      </c>
      <c r="L233" s="34">
        <f>$K$11-Tasaus[[#This Row],[Laskennallinen verotulo yhteensä, €/asukas (=tasausraja)]]</f>
        <v>624.88774303921605</v>
      </c>
      <c r="M233" s="369">
        <f>IF(Tasaus[[#This Row],[Erotus = tasausraja - laskennallinen verotulo, €/asukas]]&gt;0,(Tasaus[[#This Row],[Erotus = tasausraja - laskennallinen verotulo, €/asukas]]*$B$7),(Tasaus[[#This Row],[Erotus = tasausraja - laskennallinen verotulo, €/asukas]]*$B$8))</f>
        <v>562.39896873529449</v>
      </c>
      <c r="N233" s="370">
        <f>Tasaus[[#This Row],[Tasaus,  €/asukas]]*Tasaus[[#This Row],[Asukasluku 31.12.2022]]</f>
        <v>5036282.7650245624</v>
      </c>
      <c r="P233" s="116"/>
      <c r="Q233" s="117"/>
      <c r="R233" s="118"/>
    </row>
    <row r="234" spans="1:18">
      <c r="A234" s="266">
        <v>732</v>
      </c>
      <c r="B234" s="13" t="s">
        <v>593</v>
      </c>
      <c r="C234" s="267">
        <v>3283</v>
      </c>
      <c r="D234" s="268">
        <v>7.6099999999999994</v>
      </c>
      <c r="E234" s="14">
        <v>4029125.0651384597</v>
      </c>
      <c r="F234" s="14">
        <f>Tasaus[[#This Row],[Kunnallisvero (maksuunpantu), €]]*100/Tasaus[[#This Row],[Tuloveroprosentti 2023]]</f>
        <v>52945138.832305655</v>
      </c>
      <c r="G234" s="269">
        <f>Tasaus[[#This Row],[Verotettava tulo (kunnallisvero), €]]*($D$11/100)</f>
        <v>3902056.7319409274</v>
      </c>
      <c r="H234" s="14">
        <v>856174.0262824106</v>
      </c>
      <c r="I234" s="15">
        <v>664620.93410000007</v>
      </c>
      <c r="J234" s="15">
        <f>SUM(Tasaus[[#This Row],[Laskennallinen kunnallisvero, €]:[Laskennallinen kiinteistövero, €]])</f>
        <v>5422851.6923233382</v>
      </c>
      <c r="K234" s="15">
        <f>Tasaus[[#This Row],[Laskennallinen verotulo yhteensä, €]]/Tasaus[[#This Row],[Asukasluku 31.12.2022]]</f>
        <v>1651.7976522459148</v>
      </c>
      <c r="L234" s="34">
        <f>$K$11-Tasaus[[#This Row],[Laskennallinen verotulo yhteensä, €/asukas (=tasausraja)]]</f>
        <v>492.1623477540852</v>
      </c>
      <c r="M234" s="369">
        <f>IF(Tasaus[[#This Row],[Erotus = tasausraja - laskennallinen verotulo, €/asukas]]&gt;0,(Tasaus[[#This Row],[Erotus = tasausraja - laskennallinen verotulo, €/asukas]]*$B$7),(Tasaus[[#This Row],[Erotus = tasausraja - laskennallinen verotulo, €/asukas]]*$B$8))</f>
        <v>442.94611297867669</v>
      </c>
      <c r="N234" s="370">
        <f>Tasaus[[#This Row],[Tasaus,  €/asukas]]*Tasaus[[#This Row],[Asukasluku 31.12.2022]]</f>
        <v>1454192.0889089955</v>
      </c>
      <c r="P234" s="116"/>
      <c r="Q234" s="117"/>
      <c r="R234" s="118"/>
    </row>
    <row r="235" spans="1:18">
      <c r="A235" s="266">
        <v>734</v>
      </c>
      <c r="B235" s="13" t="s">
        <v>594</v>
      </c>
      <c r="C235" s="267">
        <v>50683</v>
      </c>
      <c r="D235" s="268">
        <v>8.11</v>
      </c>
      <c r="E235" s="14">
        <v>79346286.317307934</v>
      </c>
      <c r="F235" s="14">
        <f>Tasaus[[#This Row],[Kunnallisvero (maksuunpantu), €]]*100/Tasaus[[#This Row],[Tuloveroprosentti 2023]]</f>
        <v>978375910.20108426</v>
      </c>
      <c r="G235" s="269">
        <f>Tasaus[[#This Row],[Verotettava tulo (kunnallisvero), €]]*($D$11/100)</f>
        <v>72106304.581819922</v>
      </c>
      <c r="H235" s="14">
        <v>11767317.190932922</v>
      </c>
      <c r="I235" s="15">
        <v>8669661.5260499995</v>
      </c>
      <c r="J235" s="15">
        <f>SUM(Tasaus[[#This Row],[Laskennallinen kunnallisvero, €]:[Laskennallinen kiinteistövero, €]])</f>
        <v>92543283.298802853</v>
      </c>
      <c r="K235" s="15">
        <f>Tasaus[[#This Row],[Laskennallinen verotulo yhteensä, €]]/Tasaus[[#This Row],[Asukasluku 31.12.2022]]</f>
        <v>1825.9235502792426</v>
      </c>
      <c r="L235" s="34">
        <f>$K$11-Tasaus[[#This Row],[Laskennallinen verotulo yhteensä, €/asukas (=tasausraja)]]</f>
        <v>318.03644972075745</v>
      </c>
      <c r="M235" s="369">
        <f>IF(Tasaus[[#This Row],[Erotus = tasausraja - laskennallinen verotulo, €/asukas]]&gt;0,(Tasaus[[#This Row],[Erotus = tasausraja - laskennallinen verotulo, €/asukas]]*$B$7),(Tasaus[[#This Row],[Erotus = tasausraja - laskennallinen verotulo, €/asukas]]*$B$8))</f>
        <v>286.2328047486817</v>
      </c>
      <c r="N235" s="370">
        <f>Tasaus[[#This Row],[Tasaus,  €/asukas]]*Tasaus[[#This Row],[Asukasluku 31.12.2022]]</f>
        <v>14507137.243077435</v>
      </c>
      <c r="P235" s="116"/>
      <c r="Q235" s="117"/>
      <c r="R235" s="118"/>
    </row>
    <row r="236" spans="1:18">
      <c r="A236" s="266">
        <v>738</v>
      </c>
      <c r="B236" s="13" t="s">
        <v>595</v>
      </c>
      <c r="C236" s="267">
        <v>2921</v>
      </c>
      <c r="D236" s="268">
        <v>8.86</v>
      </c>
      <c r="E236" s="14">
        <v>5079085.827304299</v>
      </c>
      <c r="F236" s="14">
        <f>Tasaus[[#This Row],[Kunnallisvero (maksuunpantu), €]]*100/Tasaus[[#This Row],[Tuloveroprosentti 2023]]</f>
        <v>57326025.13887471</v>
      </c>
      <c r="G236" s="269">
        <f>Tasaus[[#This Row],[Verotettava tulo (kunnallisvero), €]]*($D$11/100)</f>
        <v>4224928.052735067</v>
      </c>
      <c r="H236" s="14">
        <v>498204.93217153603</v>
      </c>
      <c r="I236" s="15">
        <v>606339.17495000002</v>
      </c>
      <c r="J236" s="15">
        <f>SUM(Tasaus[[#This Row],[Laskennallinen kunnallisvero, €]:[Laskennallinen kiinteistövero, €]])</f>
        <v>5329472.1598566025</v>
      </c>
      <c r="K236" s="15">
        <f>Tasaus[[#This Row],[Laskennallinen verotulo yhteensä, €]]/Tasaus[[#This Row],[Asukasluku 31.12.2022]]</f>
        <v>1824.5368571915792</v>
      </c>
      <c r="L236" s="34">
        <f>$K$11-Tasaus[[#This Row],[Laskennallinen verotulo yhteensä, €/asukas (=tasausraja)]]</f>
        <v>319.42314280842083</v>
      </c>
      <c r="M236" s="369">
        <f>IF(Tasaus[[#This Row],[Erotus = tasausraja - laskennallinen verotulo, €/asukas]]&gt;0,(Tasaus[[#This Row],[Erotus = tasausraja - laskennallinen verotulo, €/asukas]]*$B$7),(Tasaus[[#This Row],[Erotus = tasausraja - laskennallinen verotulo, €/asukas]]*$B$8))</f>
        <v>287.48082852757875</v>
      </c>
      <c r="N236" s="370">
        <f>Tasaus[[#This Row],[Tasaus,  €/asukas]]*Tasaus[[#This Row],[Asukasluku 31.12.2022]]</f>
        <v>839731.50012905756</v>
      </c>
      <c r="P236" s="116"/>
      <c r="Q236" s="117"/>
      <c r="R236" s="118"/>
    </row>
    <row r="237" spans="1:18">
      <c r="A237" s="266">
        <v>739</v>
      </c>
      <c r="B237" s="13" t="s">
        <v>596</v>
      </c>
      <c r="C237" s="267">
        <v>3210</v>
      </c>
      <c r="D237" s="268">
        <v>8.86</v>
      </c>
      <c r="E237" s="14">
        <v>4633141.54970513</v>
      </c>
      <c r="F237" s="14">
        <f>Tasaus[[#This Row],[Kunnallisvero (maksuunpantu), €]]*100/Tasaus[[#This Row],[Tuloveroprosentti 2023]]</f>
        <v>52292794.014730588</v>
      </c>
      <c r="G237" s="269">
        <f>Tasaus[[#This Row],[Verotettava tulo (kunnallisvero), €]]*($D$11/100)</f>
        <v>3853978.918885645</v>
      </c>
      <c r="H237" s="14">
        <v>716671.26019223256</v>
      </c>
      <c r="I237" s="15">
        <v>858698.70935000002</v>
      </c>
      <c r="J237" s="15">
        <f>SUM(Tasaus[[#This Row],[Laskennallinen kunnallisvero, €]:[Laskennallinen kiinteistövero, €]])</f>
        <v>5429348.8884278778</v>
      </c>
      <c r="K237" s="15">
        <f>Tasaus[[#This Row],[Laskennallinen verotulo yhteensä, €]]/Tasaus[[#This Row],[Asukasluku 31.12.2022]]</f>
        <v>1691.3859465507408</v>
      </c>
      <c r="L237" s="34">
        <f>$K$11-Tasaus[[#This Row],[Laskennallinen verotulo yhteensä, €/asukas (=tasausraja)]]</f>
        <v>452.57405344925928</v>
      </c>
      <c r="M237" s="369">
        <f>IF(Tasaus[[#This Row],[Erotus = tasausraja - laskennallinen verotulo, €/asukas]]&gt;0,(Tasaus[[#This Row],[Erotus = tasausraja - laskennallinen verotulo, €/asukas]]*$B$7),(Tasaus[[#This Row],[Erotus = tasausraja - laskennallinen verotulo, €/asukas]]*$B$8))</f>
        <v>407.31664810433335</v>
      </c>
      <c r="N237" s="370">
        <f>Tasaus[[#This Row],[Tasaus,  €/asukas]]*Tasaus[[#This Row],[Asukasluku 31.12.2022]]</f>
        <v>1307486.44041491</v>
      </c>
      <c r="P237" s="116"/>
      <c r="Q237" s="117"/>
      <c r="R237" s="118"/>
    </row>
    <row r="238" spans="1:18">
      <c r="A238" s="266">
        <v>740</v>
      </c>
      <c r="B238" s="13" t="s">
        <v>597</v>
      </c>
      <c r="C238" s="267">
        <v>31617</v>
      </c>
      <c r="D238" s="268">
        <v>10.11</v>
      </c>
      <c r="E238" s="14">
        <v>54094115.763786696</v>
      </c>
      <c r="F238" s="14">
        <f>Tasaus[[#This Row],[Kunnallisvero (maksuunpantu), €]]*100/Tasaus[[#This Row],[Tuloveroprosentti 2023]]</f>
        <v>535055546.62499207</v>
      </c>
      <c r="G238" s="269">
        <f>Tasaus[[#This Row],[Verotettava tulo (kunnallisvero), €]]*($D$11/100)</f>
        <v>39433593.786261924</v>
      </c>
      <c r="H238" s="14">
        <v>8634897.7103277743</v>
      </c>
      <c r="I238" s="15">
        <v>6012421.5027000001</v>
      </c>
      <c r="J238" s="15">
        <f>SUM(Tasaus[[#This Row],[Laskennallinen kunnallisvero, €]:[Laskennallinen kiinteistövero, €]])</f>
        <v>54080912.999289699</v>
      </c>
      <c r="K238" s="15">
        <f>Tasaus[[#This Row],[Laskennallinen verotulo yhteensä, €]]/Tasaus[[#This Row],[Asukasluku 31.12.2022]]</f>
        <v>1710.5010911626562</v>
      </c>
      <c r="L238" s="34">
        <f>$K$11-Tasaus[[#This Row],[Laskennallinen verotulo yhteensä, €/asukas (=tasausraja)]]</f>
        <v>433.45890883734387</v>
      </c>
      <c r="M238" s="369">
        <f>IF(Tasaus[[#This Row],[Erotus = tasausraja - laskennallinen verotulo, €/asukas]]&gt;0,(Tasaus[[#This Row],[Erotus = tasausraja - laskennallinen verotulo, €/asukas]]*$B$7),(Tasaus[[#This Row],[Erotus = tasausraja - laskennallinen verotulo, €/asukas]]*$B$8))</f>
        <v>390.11301795360947</v>
      </c>
      <c r="N238" s="370">
        <f>Tasaus[[#This Row],[Tasaus,  €/asukas]]*Tasaus[[#This Row],[Asukasluku 31.12.2022]]</f>
        <v>12334203.28863927</v>
      </c>
      <c r="P238" s="116"/>
      <c r="Q238" s="117"/>
      <c r="R238" s="118"/>
    </row>
    <row r="239" spans="1:18">
      <c r="A239" s="266">
        <v>742</v>
      </c>
      <c r="B239" s="13" t="s">
        <v>598</v>
      </c>
      <c r="C239" s="267">
        <v>993</v>
      </c>
      <c r="D239" s="268">
        <v>9.110000000000003</v>
      </c>
      <c r="E239" s="14">
        <v>1519570.7073224301</v>
      </c>
      <c r="F239" s="14">
        <f>Tasaus[[#This Row],[Kunnallisvero (maksuunpantu), €]]*100/Tasaus[[#This Row],[Tuloveroprosentti 2023]]</f>
        <v>16680249.2571068</v>
      </c>
      <c r="G239" s="269">
        <f>Tasaus[[#This Row],[Verotettava tulo (kunnallisvero), €]]*($D$11/100)</f>
        <v>1229334.3702487715</v>
      </c>
      <c r="H239" s="14">
        <v>699521.98659846059</v>
      </c>
      <c r="I239" s="15">
        <v>208951.1997</v>
      </c>
      <c r="J239" s="15">
        <f>SUM(Tasaus[[#This Row],[Laskennallinen kunnallisvero, €]:[Laskennallinen kiinteistövero, €]])</f>
        <v>2137807.556547232</v>
      </c>
      <c r="K239" s="15">
        <f>Tasaus[[#This Row],[Laskennallinen verotulo yhteensä, €]]/Tasaus[[#This Row],[Asukasluku 31.12.2022]]</f>
        <v>2152.8777004503845</v>
      </c>
      <c r="L239" s="34">
        <f>$K$11-Tasaus[[#This Row],[Laskennallinen verotulo yhteensä, €/asukas (=tasausraja)]]</f>
        <v>-8.9177004503844728</v>
      </c>
      <c r="M239" s="369">
        <f>IF(Tasaus[[#This Row],[Erotus = tasausraja - laskennallinen verotulo, €/asukas]]&gt;0,(Tasaus[[#This Row],[Erotus = tasausraja - laskennallinen verotulo, €/asukas]]*$B$7),(Tasaus[[#This Row],[Erotus = tasausraja - laskennallinen verotulo, €/asukas]]*$B$8))</f>
        <v>-0.89177004503844737</v>
      </c>
      <c r="N239" s="370">
        <f>Tasaus[[#This Row],[Tasaus,  €/asukas]]*Tasaus[[#This Row],[Asukasluku 31.12.2022]]</f>
        <v>-885.52765472317822</v>
      </c>
      <c r="P239" s="116"/>
      <c r="Q239" s="117"/>
      <c r="R239" s="118"/>
    </row>
    <row r="240" spans="1:18">
      <c r="A240" s="266">
        <v>743</v>
      </c>
      <c r="B240" s="13" t="s">
        <v>599</v>
      </c>
      <c r="C240" s="267">
        <v>65197</v>
      </c>
      <c r="D240" s="268">
        <v>8.36</v>
      </c>
      <c r="E240" s="14">
        <v>111280665.85771017</v>
      </c>
      <c r="F240" s="14">
        <f>Tasaus[[#This Row],[Kunnallisvero (maksuunpantu), €]]*100/Tasaus[[#This Row],[Tuloveroprosentti 2023]]</f>
        <v>1331108443.2740452</v>
      </c>
      <c r="G240" s="269">
        <f>Tasaus[[#This Row],[Verotettava tulo (kunnallisvero), €]]*($D$11/100)</f>
        <v>98102692.269297153</v>
      </c>
      <c r="H240" s="14">
        <v>15443755.927765802</v>
      </c>
      <c r="I240" s="15">
        <v>12338081.2458</v>
      </c>
      <c r="J240" s="15">
        <f>SUM(Tasaus[[#This Row],[Laskennallinen kunnallisvero, €]:[Laskennallinen kiinteistövero, €]])</f>
        <v>125884529.44286296</v>
      </c>
      <c r="K240" s="15">
        <f>Tasaus[[#This Row],[Laskennallinen verotulo yhteensä, €]]/Tasaus[[#This Row],[Asukasluku 31.12.2022]]</f>
        <v>1930.8331586248287</v>
      </c>
      <c r="L240" s="34">
        <f>$K$11-Tasaus[[#This Row],[Laskennallinen verotulo yhteensä, €/asukas (=tasausraja)]]</f>
        <v>213.12684137517135</v>
      </c>
      <c r="M240" s="369">
        <f>IF(Tasaus[[#This Row],[Erotus = tasausraja - laskennallinen verotulo, €/asukas]]&gt;0,(Tasaus[[#This Row],[Erotus = tasausraja - laskennallinen verotulo, €/asukas]]*$B$7),(Tasaus[[#This Row],[Erotus = tasausraja - laskennallinen verotulo, €/asukas]]*$B$8))</f>
        <v>191.81415723765423</v>
      </c>
      <c r="N240" s="370">
        <f>Tasaus[[#This Row],[Tasaus,  €/asukas]]*Tasaus[[#This Row],[Asukasluku 31.12.2022]]</f>
        <v>12505707.609423343</v>
      </c>
      <c r="P240" s="116"/>
      <c r="Q240" s="117"/>
      <c r="R240" s="118"/>
    </row>
    <row r="241" spans="1:18">
      <c r="A241" s="266">
        <v>746</v>
      </c>
      <c r="B241" s="13" t="s">
        <v>600</v>
      </c>
      <c r="C241" s="267">
        <v>4707</v>
      </c>
      <c r="D241" s="268">
        <v>9.11</v>
      </c>
      <c r="E241" s="14">
        <v>6315029.8318393286</v>
      </c>
      <c r="F241" s="14">
        <f>Tasaus[[#This Row],[Kunnallisvero (maksuunpantu), €]]*100/Tasaus[[#This Row],[Tuloveroprosentti 2023]]</f>
        <v>69319756.661244005</v>
      </c>
      <c r="G241" s="269">
        <f>Tasaus[[#This Row],[Verotettava tulo (kunnallisvero), €]]*($D$11/100)</f>
        <v>5108866.0659336839</v>
      </c>
      <c r="H241" s="14">
        <v>2353802.624593657</v>
      </c>
      <c r="I241" s="15">
        <v>601033.9868500001</v>
      </c>
      <c r="J241" s="15">
        <f>SUM(Tasaus[[#This Row],[Laskennallinen kunnallisvero, €]:[Laskennallinen kiinteistövero, €]])</f>
        <v>8063702.6773773404</v>
      </c>
      <c r="K241" s="15">
        <f>Tasaus[[#This Row],[Laskennallinen verotulo yhteensä, €]]/Tasaus[[#This Row],[Asukasluku 31.12.2022]]</f>
        <v>1713.1299505794223</v>
      </c>
      <c r="L241" s="34">
        <f>$K$11-Tasaus[[#This Row],[Laskennallinen verotulo yhteensä, €/asukas (=tasausraja)]]</f>
        <v>430.83004942057778</v>
      </c>
      <c r="M241" s="369">
        <f>IF(Tasaus[[#This Row],[Erotus = tasausraja - laskennallinen verotulo, €/asukas]]&gt;0,(Tasaus[[#This Row],[Erotus = tasausraja - laskennallinen verotulo, €/asukas]]*$B$7),(Tasaus[[#This Row],[Erotus = tasausraja - laskennallinen verotulo, €/asukas]]*$B$8))</f>
        <v>387.74704447852002</v>
      </c>
      <c r="N241" s="370">
        <f>Tasaus[[#This Row],[Tasaus,  €/asukas]]*Tasaus[[#This Row],[Asukasluku 31.12.2022]]</f>
        <v>1825125.3383603937</v>
      </c>
      <c r="P241" s="116"/>
      <c r="Q241" s="117"/>
      <c r="R241" s="118"/>
    </row>
    <row r="242" spans="1:18">
      <c r="A242" s="266">
        <v>747</v>
      </c>
      <c r="B242" s="13" t="s">
        <v>601</v>
      </c>
      <c r="C242" s="267">
        <v>1335</v>
      </c>
      <c r="D242" s="268">
        <v>9.36</v>
      </c>
      <c r="E242" s="14">
        <v>1682610.8979374801</v>
      </c>
      <c r="F242" s="14">
        <f>Tasaus[[#This Row],[Kunnallisvero (maksuunpantu), €]]*100/Tasaus[[#This Row],[Tuloveroprosentti 2023]]</f>
        <v>17976612.157451712</v>
      </c>
      <c r="G242" s="269">
        <f>Tasaus[[#This Row],[Verotettava tulo (kunnallisvero), €]]*($D$11/100)</f>
        <v>1324876.3160041915</v>
      </c>
      <c r="H242" s="14">
        <v>482866.66908094543</v>
      </c>
      <c r="I242" s="15">
        <v>296712.01879999996</v>
      </c>
      <c r="J242" s="15">
        <f>SUM(Tasaus[[#This Row],[Laskennallinen kunnallisvero, €]:[Laskennallinen kiinteistövero, €]])</f>
        <v>2104455.0038851369</v>
      </c>
      <c r="K242" s="15">
        <f>Tasaus[[#This Row],[Laskennallinen verotulo yhteensä, €]]/Tasaus[[#This Row],[Asukasluku 31.12.2022]]</f>
        <v>1576.3707894270688</v>
      </c>
      <c r="L242" s="34">
        <f>$K$11-Tasaus[[#This Row],[Laskennallinen verotulo yhteensä, €/asukas (=tasausraja)]]</f>
        <v>567.58921057293128</v>
      </c>
      <c r="M242" s="369">
        <f>IF(Tasaus[[#This Row],[Erotus = tasausraja - laskennallinen verotulo, €/asukas]]&gt;0,(Tasaus[[#This Row],[Erotus = tasausraja - laskennallinen verotulo, €/asukas]]*$B$7),(Tasaus[[#This Row],[Erotus = tasausraja - laskennallinen verotulo, €/asukas]]*$B$8))</f>
        <v>510.83028951563819</v>
      </c>
      <c r="N242" s="370">
        <f>Tasaus[[#This Row],[Tasaus,  €/asukas]]*Tasaus[[#This Row],[Asukasluku 31.12.2022]]</f>
        <v>681958.43650337693</v>
      </c>
      <c r="P242" s="116"/>
      <c r="Q242" s="117"/>
      <c r="R242" s="118"/>
    </row>
    <row r="243" spans="1:18">
      <c r="A243" s="266">
        <v>748</v>
      </c>
      <c r="B243" s="13" t="s">
        <v>602</v>
      </c>
      <c r="C243" s="267">
        <v>4836</v>
      </c>
      <c r="D243" s="268">
        <v>9.36</v>
      </c>
      <c r="E243" s="14">
        <v>7295167.8420132399</v>
      </c>
      <c r="F243" s="14">
        <f>Tasaus[[#This Row],[Kunnallisvero (maksuunpantu), €]]*100/Tasaus[[#This Row],[Tuloveroprosentti 2023]]</f>
        <v>77939827.371936321</v>
      </c>
      <c r="G243" s="269">
        <f>Tasaus[[#This Row],[Verotettava tulo (kunnallisvero), €]]*($D$11/100)</f>
        <v>5744165.2773117078</v>
      </c>
      <c r="H243" s="14">
        <v>1096961.888647615</v>
      </c>
      <c r="I243" s="15">
        <v>774027.90389999992</v>
      </c>
      <c r="J243" s="15">
        <f>SUM(Tasaus[[#This Row],[Laskennallinen kunnallisvero, €]:[Laskennallinen kiinteistövero, €]])</f>
        <v>7615155.0698593231</v>
      </c>
      <c r="K243" s="15">
        <f>Tasaus[[#This Row],[Laskennallinen verotulo yhteensä, €]]/Tasaus[[#This Row],[Asukasluku 31.12.2022]]</f>
        <v>1574.6805355374945</v>
      </c>
      <c r="L243" s="34">
        <f>$K$11-Tasaus[[#This Row],[Laskennallinen verotulo yhteensä, €/asukas (=tasausraja)]]</f>
        <v>569.27946446250553</v>
      </c>
      <c r="M243" s="369">
        <f>IF(Tasaus[[#This Row],[Erotus = tasausraja - laskennallinen verotulo, €/asukas]]&gt;0,(Tasaus[[#This Row],[Erotus = tasausraja - laskennallinen verotulo, €/asukas]]*$B$7),(Tasaus[[#This Row],[Erotus = tasausraja - laskennallinen verotulo, €/asukas]]*$B$8))</f>
        <v>512.351518016255</v>
      </c>
      <c r="N243" s="370">
        <f>Tasaus[[#This Row],[Tasaus,  €/asukas]]*Tasaus[[#This Row],[Asukasluku 31.12.2022]]</f>
        <v>2477731.9411266092</v>
      </c>
      <c r="P243" s="116"/>
      <c r="Q243" s="117"/>
      <c r="R243" s="118"/>
    </row>
    <row r="244" spans="1:18">
      <c r="A244" s="266">
        <v>749</v>
      </c>
      <c r="B244" s="13" t="s">
        <v>603</v>
      </c>
      <c r="C244" s="267">
        <v>21045</v>
      </c>
      <c r="D244" s="268">
        <v>9.360000000000003</v>
      </c>
      <c r="E244" s="14">
        <v>41169680.487246841</v>
      </c>
      <c r="F244" s="14">
        <f>Tasaus[[#This Row],[Kunnallisvero (maksuunpantu), €]]*100/Tasaus[[#This Row],[Tuloveroprosentti 2023]]</f>
        <v>439847013.75263709</v>
      </c>
      <c r="G244" s="269">
        <f>Tasaus[[#This Row],[Verotettava tulo (kunnallisvero), €]]*($D$11/100)</f>
        <v>32416724.913569361</v>
      </c>
      <c r="H244" s="14">
        <v>5952408.8511677096</v>
      </c>
      <c r="I244" s="15">
        <v>2911603.5190500002</v>
      </c>
      <c r="J244" s="15">
        <f>SUM(Tasaus[[#This Row],[Laskennallinen kunnallisvero, €]:[Laskennallinen kiinteistövero, €]])</f>
        <v>41280737.283787072</v>
      </c>
      <c r="K244" s="15">
        <f>Tasaus[[#This Row],[Laskennallinen verotulo yhteensä, €]]/Tasaus[[#This Row],[Asukasluku 31.12.2022]]</f>
        <v>1961.5460814344058</v>
      </c>
      <c r="L244" s="34">
        <f>$K$11-Tasaus[[#This Row],[Laskennallinen verotulo yhteensä, €/asukas (=tasausraja)]]</f>
        <v>182.41391856559426</v>
      </c>
      <c r="M244" s="369">
        <f>IF(Tasaus[[#This Row],[Erotus = tasausraja - laskennallinen verotulo, €/asukas]]&gt;0,(Tasaus[[#This Row],[Erotus = tasausraja - laskennallinen verotulo, €/asukas]]*$B$7),(Tasaus[[#This Row],[Erotus = tasausraja - laskennallinen verotulo, €/asukas]]*$B$8))</f>
        <v>164.17252670903483</v>
      </c>
      <c r="N244" s="370">
        <f>Tasaus[[#This Row],[Tasaus,  €/asukas]]*Tasaus[[#This Row],[Asukasluku 31.12.2022]]</f>
        <v>3455010.8245916381</v>
      </c>
      <c r="P244" s="116"/>
      <c r="Q244" s="117"/>
      <c r="R244" s="118"/>
    </row>
    <row r="245" spans="1:18">
      <c r="A245" s="266">
        <v>751</v>
      </c>
      <c r="B245" s="13" t="s">
        <v>604</v>
      </c>
      <c r="C245" s="267">
        <v>2853</v>
      </c>
      <c r="D245" s="268">
        <v>9.36</v>
      </c>
      <c r="E245" s="14">
        <v>5093809.1242961297</v>
      </c>
      <c r="F245" s="14">
        <f>Tasaus[[#This Row],[Kunnallisvero (maksuunpantu), €]]*100/Tasaus[[#This Row],[Tuloveroprosentti 2023]]</f>
        <v>54421037.652736433</v>
      </c>
      <c r="G245" s="269">
        <f>Tasaus[[#This Row],[Verotettava tulo (kunnallisvero), €]]*($D$11/100)</f>
        <v>4010830.4750066758</v>
      </c>
      <c r="H245" s="14">
        <v>302294.16826403729</v>
      </c>
      <c r="I245" s="15">
        <v>361551.98060000001</v>
      </c>
      <c r="J245" s="15">
        <f>SUM(Tasaus[[#This Row],[Laskennallinen kunnallisvero, €]:[Laskennallinen kiinteistövero, €]])</f>
        <v>4674676.6238707136</v>
      </c>
      <c r="K245" s="15">
        <f>Tasaus[[#This Row],[Laskennallinen verotulo yhteensä, €]]/Tasaus[[#This Row],[Asukasluku 31.12.2022]]</f>
        <v>1638.5126617142355</v>
      </c>
      <c r="L245" s="34">
        <f>$K$11-Tasaus[[#This Row],[Laskennallinen verotulo yhteensä, €/asukas (=tasausraja)]]</f>
        <v>505.44733828576454</v>
      </c>
      <c r="M245" s="369">
        <f>IF(Tasaus[[#This Row],[Erotus = tasausraja - laskennallinen verotulo, €/asukas]]&gt;0,(Tasaus[[#This Row],[Erotus = tasausraja - laskennallinen verotulo, €/asukas]]*$B$7),(Tasaus[[#This Row],[Erotus = tasausraja - laskennallinen verotulo, €/asukas]]*$B$8))</f>
        <v>454.90260445718809</v>
      </c>
      <c r="N245" s="370">
        <f>Tasaus[[#This Row],[Tasaus,  €/asukas]]*Tasaus[[#This Row],[Asukasluku 31.12.2022]]</f>
        <v>1297837.1305163577</v>
      </c>
      <c r="P245" s="116"/>
      <c r="Q245" s="117"/>
      <c r="R245" s="118"/>
    </row>
    <row r="246" spans="1:18">
      <c r="A246" s="266">
        <v>753</v>
      </c>
      <c r="B246" s="13" t="s">
        <v>605</v>
      </c>
      <c r="C246" s="267">
        <v>22483</v>
      </c>
      <c r="D246" s="268">
        <v>6.6099999999999994</v>
      </c>
      <c r="E246" s="14">
        <v>39698976.67362123</v>
      </c>
      <c r="F246" s="14">
        <f>Tasaus[[#This Row],[Kunnallisvero (maksuunpantu), €]]*100/Tasaus[[#This Row],[Tuloveroprosentti 2023]]</f>
        <v>600589662.23330152</v>
      </c>
      <c r="G246" s="269">
        <f>Tasaus[[#This Row],[Verotettava tulo (kunnallisvero), €]]*($D$11/100)</f>
        <v>44263458.106594332</v>
      </c>
      <c r="H246" s="14">
        <v>5723776.8896484012</v>
      </c>
      <c r="I246" s="15">
        <v>6379539.8417499987</v>
      </c>
      <c r="J246" s="15">
        <f>SUM(Tasaus[[#This Row],[Laskennallinen kunnallisvero, €]:[Laskennallinen kiinteistövero, €]])</f>
        <v>56366774.837992728</v>
      </c>
      <c r="K246" s="15">
        <f>Tasaus[[#This Row],[Laskennallinen verotulo yhteensä, €]]/Tasaus[[#This Row],[Asukasluku 31.12.2022]]</f>
        <v>2507.0842342210881</v>
      </c>
      <c r="L246" s="34">
        <f>$K$11-Tasaus[[#This Row],[Laskennallinen verotulo yhteensä, €/asukas (=tasausraja)]]</f>
        <v>-363.12423422108805</v>
      </c>
      <c r="M246" s="369">
        <f>IF(Tasaus[[#This Row],[Erotus = tasausraja - laskennallinen verotulo, €/asukas]]&gt;0,(Tasaus[[#This Row],[Erotus = tasausraja - laskennallinen verotulo, €/asukas]]*$B$7),(Tasaus[[#This Row],[Erotus = tasausraja - laskennallinen verotulo, €/asukas]]*$B$8))</f>
        <v>-36.312423422108807</v>
      </c>
      <c r="N246" s="370">
        <f>Tasaus[[#This Row],[Tasaus,  €/asukas]]*Tasaus[[#This Row],[Asukasluku 31.12.2022]]</f>
        <v>-816412.21579927229</v>
      </c>
      <c r="P246" s="116"/>
      <c r="Q246" s="117"/>
      <c r="R246" s="118"/>
    </row>
    <row r="247" spans="1:18">
      <c r="A247" s="266">
        <v>755</v>
      </c>
      <c r="B247" s="13" t="s">
        <v>606</v>
      </c>
      <c r="C247" s="267">
        <v>6172</v>
      </c>
      <c r="D247" s="268">
        <v>8.86</v>
      </c>
      <c r="E247" s="14">
        <v>13345449.30892586</v>
      </c>
      <c r="F247" s="14">
        <f>Tasaus[[#This Row],[Kunnallisvero (maksuunpantu), €]]*100/Tasaus[[#This Row],[Tuloveroprosentti 2023]]</f>
        <v>150625838.70119482</v>
      </c>
      <c r="G247" s="269">
        <f>Tasaus[[#This Row],[Verotettava tulo (kunnallisvero), €]]*($D$11/100)</f>
        <v>11101124.31227806</v>
      </c>
      <c r="H247" s="14">
        <v>684620.80038083752</v>
      </c>
      <c r="I247" s="15">
        <v>1307572.35515</v>
      </c>
      <c r="J247" s="15">
        <f>SUM(Tasaus[[#This Row],[Laskennallinen kunnallisvero, €]:[Laskennallinen kiinteistövero, €]])</f>
        <v>13093317.467808897</v>
      </c>
      <c r="K247" s="15">
        <f>Tasaus[[#This Row],[Laskennallinen verotulo yhteensä, €]]/Tasaus[[#This Row],[Asukasluku 31.12.2022]]</f>
        <v>2121.4059409930164</v>
      </c>
      <c r="L247" s="34">
        <f>$K$11-Tasaus[[#This Row],[Laskennallinen verotulo yhteensä, €/asukas (=tasausraja)]]</f>
        <v>22.554059006983607</v>
      </c>
      <c r="M247" s="369">
        <f>IF(Tasaus[[#This Row],[Erotus = tasausraja - laskennallinen verotulo, €/asukas]]&gt;0,(Tasaus[[#This Row],[Erotus = tasausraja - laskennallinen verotulo, €/asukas]]*$B$7),(Tasaus[[#This Row],[Erotus = tasausraja - laskennallinen verotulo, €/asukas]]*$B$8))</f>
        <v>20.298653106285247</v>
      </c>
      <c r="N247" s="370">
        <f>Tasaus[[#This Row],[Tasaus,  €/asukas]]*Tasaus[[#This Row],[Asukasluku 31.12.2022]]</f>
        <v>125283.28697199255</v>
      </c>
      <c r="P247" s="116"/>
      <c r="Q247" s="117"/>
      <c r="R247" s="118"/>
    </row>
    <row r="248" spans="1:18">
      <c r="A248" s="266">
        <v>758</v>
      </c>
      <c r="B248" s="13" t="s">
        <v>607</v>
      </c>
      <c r="C248" s="267">
        <v>8060</v>
      </c>
      <c r="D248" s="268">
        <v>8.36</v>
      </c>
      <c r="E248" s="14">
        <v>13456732.142630979</v>
      </c>
      <c r="F248" s="14">
        <f>Tasaus[[#This Row],[Kunnallisvero (maksuunpantu), €]]*100/Tasaus[[#This Row],[Tuloveroprosentti 2023]]</f>
        <v>160965695.48601651</v>
      </c>
      <c r="G248" s="269">
        <f>Tasaus[[#This Row],[Verotettava tulo (kunnallisvero), €]]*($D$11/100)</f>
        <v>11863171.757319419</v>
      </c>
      <c r="H248" s="14">
        <v>5169191.8071733918</v>
      </c>
      <c r="I248" s="15">
        <v>2147442.6944999998</v>
      </c>
      <c r="J248" s="15">
        <f>SUM(Tasaus[[#This Row],[Laskennallinen kunnallisvero, €]:[Laskennallinen kiinteistövero, €]])</f>
        <v>19179806.25899281</v>
      </c>
      <c r="K248" s="15">
        <f>Tasaus[[#This Row],[Laskennallinen verotulo yhteensä, €]]/Tasaus[[#This Row],[Asukasluku 31.12.2022]]</f>
        <v>2379.6285681132517</v>
      </c>
      <c r="L248" s="34">
        <f>$K$11-Tasaus[[#This Row],[Laskennallinen verotulo yhteensä, €/asukas (=tasausraja)]]</f>
        <v>-235.66856811325169</v>
      </c>
      <c r="M248" s="369">
        <f>IF(Tasaus[[#This Row],[Erotus = tasausraja - laskennallinen verotulo, €/asukas]]&gt;0,(Tasaus[[#This Row],[Erotus = tasausraja - laskennallinen verotulo, €/asukas]]*$B$7),(Tasaus[[#This Row],[Erotus = tasausraja - laskennallinen verotulo, €/asukas]]*$B$8))</f>
        <v>-23.56685681132517</v>
      </c>
      <c r="N248" s="370">
        <f>Tasaus[[#This Row],[Tasaus,  €/asukas]]*Tasaus[[#This Row],[Asukasluku 31.12.2022]]</f>
        <v>-189948.86589928088</v>
      </c>
      <c r="P248" s="116"/>
      <c r="Q248" s="117"/>
      <c r="R248" s="118"/>
    </row>
    <row r="249" spans="1:18">
      <c r="A249" s="266">
        <v>759</v>
      </c>
      <c r="B249" s="13" t="s">
        <v>608</v>
      </c>
      <c r="C249" s="267">
        <v>1927</v>
      </c>
      <c r="D249" s="268">
        <v>9.1099999999999959</v>
      </c>
      <c r="E249" s="14">
        <v>2432776.4287175299</v>
      </c>
      <c r="F249" s="14">
        <f>Tasaus[[#This Row],[Kunnallisvero (maksuunpantu), €]]*100/Tasaus[[#This Row],[Tuloveroprosentti 2023]]</f>
        <v>26704461.347064003</v>
      </c>
      <c r="G249" s="269">
        <f>Tasaus[[#This Row],[Verotettava tulo (kunnallisvero), €]]*($D$11/100)</f>
        <v>1968118.8012786175</v>
      </c>
      <c r="H249" s="14">
        <v>998494.73946918861</v>
      </c>
      <c r="I249" s="15">
        <v>289495.51675000001</v>
      </c>
      <c r="J249" s="15">
        <f>SUM(Tasaus[[#This Row],[Laskennallinen kunnallisvero, €]:[Laskennallinen kiinteistövero, €]])</f>
        <v>3256109.0574978059</v>
      </c>
      <c r="K249" s="15">
        <f>Tasaus[[#This Row],[Laskennallinen verotulo yhteensä, €]]/Tasaus[[#This Row],[Asukasluku 31.12.2022]]</f>
        <v>1689.7296613896242</v>
      </c>
      <c r="L249" s="34">
        <f>$K$11-Tasaus[[#This Row],[Laskennallinen verotulo yhteensä, €/asukas (=tasausraja)]]</f>
        <v>454.23033861037584</v>
      </c>
      <c r="M249" s="369">
        <f>IF(Tasaus[[#This Row],[Erotus = tasausraja - laskennallinen verotulo, €/asukas]]&gt;0,(Tasaus[[#This Row],[Erotus = tasausraja - laskennallinen verotulo, €/asukas]]*$B$7),(Tasaus[[#This Row],[Erotus = tasausraja - laskennallinen verotulo, €/asukas]]*$B$8))</f>
        <v>408.80730474933824</v>
      </c>
      <c r="N249" s="370">
        <f>Tasaus[[#This Row],[Tasaus,  €/asukas]]*Tasaus[[#This Row],[Asukasluku 31.12.2022]]</f>
        <v>787771.67625197477</v>
      </c>
      <c r="P249" s="116"/>
      <c r="Q249" s="117"/>
      <c r="R249" s="118"/>
    </row>
    <row r="250" spans="1:18">
      <c r="A250" s="266">
        <v>761</v>
      </c>
      <c r="B250" s="13" t="s">
        <v>609</v>
      </c>
      <c r="C250" s="267">
        <v>8455</v>
      </c>
      <c r="D250" s="268">
        <v>7.8599999999999994</v>
      </c>
      <c r="E250" s="14">
        <v>11609816.47642271</v>
      </c>
      <c r="F250" s="14">
        <f>Tasaus[[#This Row],[Kunnallisvero (maksuunpantu), €]]*100/Tasaus[[#This Row],[Tuloveroprosentti 2023]]</f>
        <v>147707588.75855866</v>
      </c>
      <c r="G250" s="269">
        <f>Tasaus[[#This Row],[Verotettava tulo (kunnallisvero), €]]*($D$11/100)</f>
        <v>10886049.291505776</v>
      </c>
      <c r="H250" s="14">
        <v>1255517.7024073636</v>
      </c>
      <c r="I250" s="15">
        <v>1267919.9130499999</v>
      </c>
      <c r="J250" s="15">
        <f>SUM(Tasaus[[#This Row],[Laskennallinen kunnallisvero, €]:[Laskennallinen kiinteistövero, €]])</f>
        <v>13409486.90696314</v>
      </c>
      <c r="K250" s="15">
        <f>Tasaus[[#This Row],[Laskennallinen verotulo yhteensä, €]]/Tasaus[[#This Row],[Asukasluku 31.12.2022]]</f>
        <v>1585.9830759270419</v>
      </c>
      <c r="L250" s="34">
        <f>$K$11-Tasaus[[#This Row],[Laskennallinen verotulo yhteensä, €/asukas (=tasausraja)]]</f>
        <v>557.97692407295813</v>
      </c>
      <c r="M250" s="369">
        <f>IF(Tasaus[[#This Row],[Erotus = tasausraja - laskennallinen verotulo, €/asukas]]&gt;0,(Tasaus[[#This Row],[Erotus = tasausraja - laskennallinen verotulo, €/asukas]]*$B$7),(Tasaus[[#This Row],[Erotus = tasausraja - laskennallinen verotulo, €/asukas]]*$B$8))</f>
        <v>502.17923166566231</v>
      </c>
      <c r="N250" s="370">
        <f>Tasaus[[#This Row],[Tasaus,  €/asukas]]*Tasaus[[#This Row],[Asukasluku 31.12.2022]]</f>
        <v>4245925.4037331752</v>
      </c>
      <c r="P250" s="116"/>
      <c r="Q250" s="117"/>
      <c r="R250" s="118"/>
    </row>
    <row r="251" spans="1:18">
      <c r="A251" s="266">
        <v>762</v>
      </c>
      <c r="B251" s="13" t="s">
        <v>610</v>
      </c>
      <c r="C251" s="267">
        <v>3687</v>
      </c>
      <c r="D251" s="268">
        <v>8.61</v>
      </c>
      <c r="E251" s="14">
        <v>4751018.2526151799</v>
      </c>
      <c r="F251" s="14">
        <f>Tasaus[[#This Row],[Kunnallisvero (maksuunpantu), €]]*100/Tasaus[[#This Row],[Tuloveroprosentti 2023]]</f>
        <v>55180235.222011387</v>
      </c>
      <c r="G251" s="269">
        <f>Tasaus[[#This Row],[Verotettava tulo (kunnallisvero), €]]*($D$11/100)</f>
        <v>4066783.3358622403</v>
      </c>
      <c r="H251" s="14">
        <v>1538477.9503952779</v>
      </c>
      <c r="I251" s="15">
        <v>575453.60039999988</v>
      </c>
      <c r="J251" s="15">
        <f>SUM(Tasaus[[#This Row],[Laskennallinen kunnallisvero, €]:[Laskennallinen kiinteistövero, €]])</f>
        <v>6180714.8866575183</v>
      </c>
      <c r="K251" s="15">
        <f>Tasaus[[#This Row],[Laskennallinen verotulo yhteensä, €]]/Tasaus[[#This Row],[Asukasluku 31.12.2022]]</f>
        <v>1676.3533731102573</v>
      </c>
      <c r="L251" s="34">
        <f>$K$11-Tasaus[[#This Row],[Laskennallinen verotulo yhteensä, €/asukas (=tasausraja)]]</f>
        <v>467.60662688974276</v>
      </c>
      <c r="M251" s="369">
        <f>IF(Tasaus[[#This Row],[Erotus = tasausraja - laskennallinen verotulo, €/asukas]]&gt;0,(Tasaus[[#This Row],[Erotus = tasausraja - laskennallinen verotulo, €/asukas]]*$B$7),(Tasaus[[#This Row],[Erotus = tasausraja - laskennallinen verotulo, €/asukas]]*$B$8))</f>
        <v>420.84596420076849</v>
      </c>
      <c r="N251" s="370">
        <f>Tasaus[[#This Row],[Tasaus,  €/asukas]]*Tasaus[[#This Row],[Asukasluku 31.12.2022]]</f>
        <v>1551659.0700082334</v>
      </c>
      <c r="P251" s="116"/>
      <c r="Q251" s="117"/>
      <c r="R251" s="118"/>
    </row>
    <row r="252" spans="1:18">
      <c r="A252" s="266">
        <v>765</v>
      </c>
      <c r="B252" s="13" t="s">
        <v>611</v>
      </c>
      <c r="C252" s="267">
        <v>10200</v>
      </c>
      <c r="D252" s="268">
        <v>7.1099999999999994</v>
      </c>
      <c r="E252" s="14">
        <v>14220898.35459958</v>
      </c>
      <c r="F252" s="14">
        <f>Tasaus[[#This Row],[Kunnallisvero (maksuunpantu), €]]*100/Tasaus[[#This Row],[Tuloveroprosentti 2023]]</f>
        <v>200012635.08578879</v>
      </c>
      <c r="G252" s="269">
        <f>Tasaus[[#This Row],[Verotettava tulo (kunnallisvero), €]]*($D$11/100)</f>
        <v>14740931.205822637</v>
      </c>
      <c r="H252" s="14">
        <v>2581032.2517070393</v>
      </c>
      <c r="I252" s="15">
        <v>2530340.6623500003</v>
      </c>
      <c r="J252" s="15">
        <f>SUM(Tasaus[[#This Row],[Laskennallinen kunnallisvero, €]:[Laskennallinen kiinteistövero, €]])</f>
        <v>19852304.119879674</v>
      </c>
      <c r="K252" s="15">
        <f>Tasaus[[#This Row],[Laskennallinen verotulo yhteensä, €]]/Tasaus[[#This Row],[Asukasluku 31.12.2022]]</f>
        <v>1946.3043254783995</v>
      </c>
      <c r="L252" s="34">
        <f>$K$11-Tasaus[[#This Row],[Laskennallinen verotulo yhteensä, €/asukas (=tasausraja)]]</f>
        <v>197.65567452160053</v>
      </c>
      <c r="M252" s="369">
        <f>IF(Tasaus[[#This Row],[Erotus = tasausraja - laskennallinen verotulo, €/asukas]]&gt;0,(Tasaus[[#This Row],[Erotus = tasausraja - laskennallinen verotulo, €/asukas]]*$B$7),(Tasaus[[#This Row],[Erotus = tasausraja - laskennallinen verotulo, €/asukas]]*$B$8))</f>
        <v>177.89010706944049</v>
      </c>
      <c r="N252" s="370">
        <f>Tasaus[[#This Row],[Tasaus,  €/asukas]]*Tasaus[[#This Row],[Asukasluku 31.12.2022]]</f>
        <v>1814479.092108293</v>
      </c>
      <c r="P252" s="116"/>
      <c r="Q252" s="117"/>
      <c r="R252" s="118"/>
    </row>
    <row r="253" spans="1:18">
      <c r="A253" s="266">
        <v>768</v>
      </c>
      <c r="B253" s="13" t="s">
        <v>612</v>
      </c>
      <c r="C253" s="267">
        <v>2384</v>
      </c>
      <c r="D253" s="268">
        <v>8.36</v>
      </c>
      <c r="E253" s="14">
        <v>2891456.80984951</v>
      </c>
      <c r="F253" s="14">
        <f>Tasaus[[#This Row],[Kunnallisvero (maksuunpantu), €]]*100/Tasaus[[#This Row],[Tuloveroprosentti 2023]]</f>
        <v>34586803.945568308</v>
      </c>
      <c r="G253" s="269">
        <f>Tasaus[[#This Row],[Verotettava tulo (kunnallisvero), €]]*($D$11/100)</f>
        <v>2549047.4507883848</v>
      </c>
      <c r="H253" s="14">
        <v>821531.71905638091</v>
      </c>
      <c r="I253" s="15">
        <v>634734.63120000006</v>
      </c>
      <c r="J253" s="15">
        <f>SUM(Tasaus[[#This Row],[Laskennallinen kunnallisvero, €]:[Laskennallinen kiinteistövero, €]])</f>
        <v>4005313.8010447659</v>
      </c>
      <c r="K253" s="15">
        <f>Tasaus[[#This Row],[Laskennallinen verotulo yhteensä, €]]/Tasaus[[#This Row],[Asukasluku 31.12.2022]]</f>
        <v>1680.0812923845494</v>
      </c>
      <c r="L253" s="34">
        <f>$K$11-Tasaus[[#This Row],[Laskennallinen verotulo yhteensä, €/asukas (=tasausraja)]]</f>
        <v>463.87870761545059</v>
      </c>
      <c r="M253" s="369">
        <f>IF(Tasaus[[#This Row],[Erotus = tasausraja - laskennallinen verotulo, €/asukas]]&gt;0,(Tasaus[[#This Row],[Erotus = tasausraja - laskennallinen verotulo, €/asukas]]*$B$7),(Tasaus[[#This Row],[Erotus = tasausraja - laskennallinen verotulo, €/asukas]]*$B$8))</f>
        <v>417.49083685390553</v>
      </c>
      <c r="N253" s="370">
        <f>Tasaus[[#This Row],[Tasaus,  €/asukas]]*Tasaus[[#This Row],[Asukasluku 31.12.2022]]</f>
        <v>995298.15505971084</v>
      </c>
      <c r="P253" s="116"/>
      <c r="Q253" s="117"/>
      <c r="R253" s="118"/>
    </row>
    <row r="254" spans="1:18">
      <c r="A254" s="266">
        <v>777</v>
      </c>
      <c r="B254" s="13" t="s">
        <v>613</v>
      </c>
      <c r="C254" s="267">
        <v>7297</v>
      </c>
      <c r="D254" s="268">
        <v>8.86</v>
      </c>
      <c r="E254" s="14">
        <v>10194844.40662506</v>
      </c>
      <c r="F254" s="14">
        <f>Tasaus[[#This Row],[Kunnallisvero (maksuunpantu), €]]*100/Tasaus[[#This Row],[Tuloveroprosentti 2023]]</f>
        <v>115065963.95739345</v>
      </c>
      <c r="G254" s="269">
        <f>Tasaus[[#This Row],[Verotettava tulo (kunnallisvero), €]]*($D$11/100)</f>
        <v>8480361.5436598994</v>
      </c>
      <c r="H254" s="14">
        <v>2017716.8814305938</v>
      </c>
      <c r="I254" s="15">
        <v>1020263.1580000001</v>
      </c>
      <c r="J254" s="15">
        <f>SUM(Tasaus[[#This Row],[Laskennallinen kunnallisvero, €]:[Laskennallinen kiinteistövero, €]])</f>
        <v>11518341.583090493</v>
      </c>
      <c r="K254" s="15">
        <f>Tasaus[[#This Row],[Laskennallinen verotulo yhteensä, €]]/Tasaus[[#This Row],[Asukasluku 31.12.2022]]</f>
        <v>1578.5037115376858</v>
      </c>
      <c r="L254" s="34">
        <f>$K$11-Tasaus[[#This Row],[Laskennallinen verotulo yhteensä, €/asukas (=tasausraja)]]</f>
        <v>565.45628846231421</v>
      </c>
      <c r="M254" s="369">
        <f>IF(Tasaus[[#This Row],[Erotus = tasausraja - laskennallinen verotulo, €/asukas]]&gt;0,(Tasaus[[#This Row],[Erotus = tasausraja - laskennallinen verotulo, €/asukas]]*$B$7),(Tasaus[[#This Row],[Erotus = tasausraja - laskennallinen verotulo, €/asukas]]*$B$8))</f>
        <v>508.9106596160828</v>
      </c>
      <c r="N254" s="370">
        <f>Tasaus[[#This Row],[Tasaus,  €/asukas]]*Tasaus[[#This Row],[Asukasluku 31.12.2022]]</f>
        <v>3713521.0832185564</v>
      </c>
      <c r="P254" s="116"/>
      <c r="Q254" s="117"/>
      <c r="R254" s="118"/>
    </row>
    <row r="255" spans="1:18">
      <c r="A255" s="266">
        <v>778</v>
      </c>
      <c r="B255" s="13" t="s">
        <v>614</v>
      </c>
      <c r="C255" s="267">
        <v>6731</v>
      </c>
      <c r="D255" s="268">
        <v>9.1099999999999959</v>
      </c>
      <c r="E255" s="14">
        <v>10303778.73896952</v>
      </c>
      <c r="F255" s="14">
        <f>Tasaus[[#This Row],[Kunnallisvero (maksuunpantu), €]]*100/Tasaus[[#This Row],[Tuloveroprosentti 2023]]</f>
        <v>113104047.62864462</v>
      </c>
      <c r="G255" s="269">
        <f>Tasaus[[#This Row],[Verotettava tulo (kunnallisvero), €]]*($D$11/100)</f>
        <v>8335768.3102311101</v>
      </c>
      <c r="H255" s="14">
        <v>2625341.3346505091</v>
      </c>
      <c r="I255" s="15">
        <v>913666.98144999996</v>
      </c>
      <c r="J255" s="15">
        <f>SUM(Tasaus[[#This Row],[Laskennallinen kunnallisvero, €]:[Laskennallinen kiinteistövero, €]])</f>
        <v>11874776.62633162</v>
      </c>
      <c r="K255" s="15">
        <f>Tasaus[[#This Row],[Laskennallinen verotulo yhteensä, €]]/Tasaus[[#This Row],[Asukasluku 31.12.2022]]</f>
        <v>1764.1920407564432</v>
      </c>
      <c r="L255" s="34">
        <f>$K$11-Tasaus[[#This Row],[Laskennallinen verotulo yhteensä, €/asukas (=tasausraja)]]</f>
        <v>379.76795924355679</v>
      </c>
      <c r="M255" s="369">
        <f>IF(Tasaus[[#This Row],[Erotus = tasausraja - laskennallinen verotulo, €/asukas]]&gt;0,(Tasaus[[#This Row],[Erotus = tasausraja - laskennallinen verotulo, €/asukas]]*$B$7),(Tasaus[[#This Row],[Erotus = tasausraja - laskennallinen verotulo, €/asukas]]*$B$8))</f>
        <v>341.79116331920113</v>
      </c>
      <c r="N255" s="370">
        <f>Tasaus[[#This Row],[Tasaus,  €/asukas]]*Tasaus[[#This Row],[Asukasluku 31.12.2022]]</f>
        <v>2300596.320301543</v>
      </c>
      <c r="P255" s="116"/>
      <c r="Q255" s="117"/>
      <c r="R255" s="118"/>
    </row>
    <row r="256" spans="1:18">
      <c r="A256" s="266">
        <v>781</v>
      </c>
      <c r="B256" s="13" t="s">
        <v>615</v>
      </c>
      <c r="C256" s="267">
        <v>3468</v>
      </c>
      <c r="D256" s="268">
        <v>6.3599999999999994</v>
      </c>
      <c r="E256" s="14">
        <v>3464581.4688259601</v>
      </c>
      <c r="F256" s="14">
        <f>Tasaus[[#This Row],[Kunnallisvero (maksuunpantu), €]]*100/Tasaus[[#This Row],[Tuloveroprosentti 2023]]</f>
        <v>54474551.396634601</v>
      </c>
      <c r="G256" s="269">
        <f>Tasaus[[#This Row],[Verotettava tulo (kunnallisvero), €]]*($D$11/100)</f>
        <v>4014774.4379319712</v>
      </c>
      <c r="H256" s="14">
        <v>1147116.1831896931</v>
      </c>
      <c r="I256" s="15">
        <v>1301855.7429</v>
      </c>
      <c r="J256" s="15">
        <f>SUM(Tasaus[[#This Row],[Laskennallinen kunnallisvero, €]:[Laskennallinen kiinteistövero, €]])</f>
        <v>6463746.3640216645</v>
      </c>
      <c r="K256" s="15">
        <f>Tasaus[[#This Row],[Laskennallinen verotulo yhteensä, €]]/Tasaus[[#This Row],[Asukasluku 31.12.2022]]</f>
        <v>1863.8253644814488</v>
      </c>
      <c r="L256" s="34">
        <f>$K$11-Tasaus[[#This Row],[Laskennallinen verotulo yhteensä, €/asukas (=tasausraja)]]</f>
        <v>280.13463551855125</v>
      </c>
      <c r="M256" s="369">
        <f>IF(Tasaus[[#This Row],[Erotus = tasausraja - laskennallinen verotulo, €/asukas]]&gt;0,(Tasaus[[#This Row],[Erotus = tasausraja - laskennallinen verotulo, €/asukas]]*$B$7),(Tasaus[[#This Row],[Erotus = tasausraja - laskennallinen verotulo, €/asukas]]*$B$8))</f>
        <v>252.12117196669612</v>
      </c>
      <c r="N256" s="370">
        <f>Tasaus[[#This Row],[Tasaus,  €/asukas]]*Tasaus[[#This Row],[Asukasluku 31.12.2022]]</f>
        <v>874356.22438050213</v>
      </c>
      <c r="P256" s="116"/>
      <c r="Q256" s="117"/>
      <c r="R256" s="118"/>
    </row>
    <row r="257" spans="1:18">
      <c r="A257" s="266">
        <v>783</v>
      </c>
      <c r="B257" s="13" t="s">
        <v>616</v>
      </c>
      <c r="C257" s="267">
        <v>6479</v>
      </c>
      <c r="D257" s="268">
        <v>8.86</v>
      </c>
      <c r="E257" s="14">
        <v>11340913.07062714</v>
      </c>
      <c r="F257" s="14">
        <f>Tasaus[[#This Row],[Kunnallisvero (maksuunpantu), €]]*100/Tasaus[[#This Row],[Tuloveroprosentti 2023]]</f>
        <v>128001276.19217993</v>
      </c>
      <c r="G257" s="269">
        <f>Tasaus[[#This Row],[Verotettava tulo (kunnallisvero), €]]*($D$11/100)</f>
        <v>9433694.0553636625</v>
      </c>
      <c r="H257" s="14">
        <v>1320025.453921194</v>
      </c>
      <c r="I257" s="15">
        <v>1306945.6444999999</v>
      </c>
      <c r="J257" s="15">
        <f>SUM(Tasaus[[#This Row],[Laskennallinen kunnallisvero, €]:[Laskennallinen kiinteistövero, €]])</f>
        <v>12060665.153784856</v>
      </c>
      <c r="K257" s="15">
        <f>Tasaus[[#This Row],[Laskennallinen verotulo yhteensä, €]]/Tasaus[[#This Row],[Asukasluku 31.12.2022]]</f>
        <v>1861.5010269771349</v>
      </c>
      <c r="L257" s="34">
        <f>$K$11-Tasaus[[#This Row],[Laskennallinen verotulo yhteensä, €/asukas (=tasausraja)]]</f>
        <v>282.45897302286517</v>
      </c>
      <c r="M257" s="369">
        <f>IF(Tasaus[[#This Row],[Erotus = tasausraja - laskennallinen verotulo, €/asukas]]&gt;0,(Tasaus[[#This Row],[Erotus = tasausraja - laskennallinen verotulo, €/asukas]]*$B$7),(Tasaus[[#This Row],[Erotus = tasausraja - laskennallinen verotulo, €/asukas]]*$B$8))</f>
        <v>254.21307572057864</v>
      </c>
      <c r="N257" s="370">
        <f>Tasaus[[#This Row],[Tasaus,  €/asukas]]*Tasaus[[#This Row],[Asukasluku 31.12.2022]]</f>
        <v>1647046.517593629</v>
      </c>
      <c r="P257" s="116"/>
      <c r="Q257" s="117"/>
      <c r="R257" s="118"/>
    </row>
    <row r="258" spans="1:18">
      <c r="A258" s="266">
        <v>785</v>
      </c>
      <c r="B258" s="13" t="s">
        <v>617</v>
      </c>
      <c r="C258" s="267">
        <v>2602</v>
      </c>
      <c r="D258" s="268">
        <v>8.86</v>
      </c>
      <c r="E258" s="14">
        <v>3333517.0275060497</v>
      </c>
      <c r="F258" s="14">
        <f>Tasaus[[#This Row],[Kunnallisvero (maksuunpantu), €]]*100/Tasaus[[#This Row],[Tuloveroprosentti 2023]]</f>
        <v>37624345.682912529</v>
      </c>
      <c r="G258" s="269">
        <f>Tasaus[[#This Row],[Verotettava tulo (kunnallisvero), €]]*($D$11/100)</f>
        <v>2772914.2768306541</v>
      </c>
      <c r="H258" s="14">
        <v>527371.42230383214</v>
      </c>
      <c r="I258" s="15">
        <v>679899.56815000006</v>
      </c>
      <c r="J258" s="15">
        <f>SUM(Tasaus[[#This Row],[Laskennallinen kunnallisvero, €]:[Laskennallinen kiinteistövero, €]])</f>
        <v>3980185.2672844864</v>
      </c>
      <c r="K258" s="15">
        <f>Tasaus[[#This Row],[Laskennallinen verotulo yhteensä, €]]/Tasaus[[#This Row],[Asukasluku 31.12.2022]]</f>
        <v>1529.6638229379271</v>
      </c>
      <c r="L258" s="34">
        <f>$K$11-Tasaus[[#This Row],[Laskennallinen verotulo yhteensä, €/asukas (=tasausraja)]]</f>
        <v>614.29617706207296</v>
      </c>
      <c r="M258" s="369">
        <f>IF(Tasaus[[#This Row],[Erotus = tasausraja - laskennallinen verotulo, €/asukas]]&gt;0,(Tasaus[[#This Row],[Erotus = tasausraja - laskennallinen verotulo, €/asukas]]*$B$7),(Tasaus[[#This Row],[Erotus = tasausraja - laskennallinen verotulo, €/asukas]]*$B$8))</f>
        <v>552.86655935586566</v>
      </c>
      <c r="N258" s="370">
        <f>Tasaus[[#This Row],[Tasaus,  €/asukas]]*Tasaus[[#This Row],[Asukasluku 31.12.2022]]</f>
        <v>1438558.7874439624</v>
      </c>
      <c r="P258" s="116"/>
      <c r="Q258" s="117"/>
      <c r="R258" s="118"/>
    </row>
    <row r="259" spans="1:18">
      <c r="A259" s="266">
        <v>790</v>
      </c>
      <c r="B259" s="13" t="s">
        <v>259</v>
      </c>
      <c r="C259" s="267">
        <v>23489</v>
      </c>
      <c r="D259" s="268">
        <v>8.860000000000003</v>
      </c>
      <c r="E259" s="14">
        <v>37068835.803632848</v>
      </c>
      <c r="F259" s="14">
        <f>Tasaus[[#This Row],[Kunnallisvero (maksuunpantu), €]]*100/Tasaus[[#This Row],[Tuloveroprosentti 2023]]</f>
        <v>418384151.28253764</v>
      </c>
      <c r="G259" s="269">
        <f>Tasaus[[#This Row],[Verotettava tulo (kunnallisvero), €]]*($D$11/100)</f>
        <v>30834911.949523032</v>
      </c>
      <c r="H259" s="14">
        <v>4723520.5644025942</v>
      </c>
      <c r="I259" s="15">
        <v>3706532.2336999997</v>
      </c>
      <c r="J259" s="15">
        <f>SUM(Tasaus[[#This Row],[Laskennallinen kunnallisvero, €]:[Laskennallinen kiinteistövero, €]])</f>
        <v>39264964.747625627</v>
      </c>
      <c r="K259" s="15">
        <f>Tasaus[[#This Row],[Laskennallinen verotulo yhteensä, €]]/Tasaus[[#This Row],[Asukasluku 31.12.2022]]</f>
        <v>1671.6320297852453</v>
      </c>
      <c r="L259" s="34">
        <f>$K$11-Tasaus[[#This Row],[Laskennallinen verotulo yhteensä, €/asukas (=tasausraja)]]</f>
        <v>472.32797021475471</v>
      </c>
      <c r="M259" s="369">
        <f>IF(Tasaus[[#This Row],[Erotus = tasausraja - laskennallinen verotulo, €/asukas]]&gt;0,(Tasaus[[#This Row],[Erotus = tasausraja - laskennallinen verotulo, €/asukas]]*$B$7),(Tasaus[[#This Row],[Erotus = tasausraja - laskennallinen verotulo, €/asukas]]*$B$8))</f>
        <v>425.09517319327927</v>
      </c>
      <c r="N259" s="370">
        <f>Tasaus[[#This Row],[Tasaus,  €/asukas]]*Tasaus[[#This Row],[Asukasluku 31.12.2022]]</f>
        <v>9985060.5231369361</v>
      </c>
      <c r="P259" s="116"/>
      <c r="Q259" s="117"/>
      <c r="R259" s="118"/>
    </row>
    <row r="260" spans="1:18">
      <c r="A260" s="266">
        <v>791</v>
      </c>
      <c r="B260" s="13" t="s">
        <v>260</v>
      </c>
      <c r="C260" s="267">
        <v>5010</v>
      </c>
      <c r="D260" s="268">
        <v>9.36</v>
      </c>
      <c r="E260" s="14">
        <v>6728275.7443400789</v>
      </c>
      <c r="F260" s="14">
        <f>Tasaus[[#This Row],[Kunnallisvero (maksuunpantu), €]]*100/Tasaus[[#This Row],[Tuloveroprosentti 2023]]</f>
        <v>71883287.866881192</v>
      </c>
      <c r="G260" s="269">
        <f>Tasaus[[#This Row],[Verotettava tulo (kunnallisvero), €]]*($D$11/100)</f>
        <v>5297798.3157891445</v>
      </c>
      <c r="H260" s="14">
        <v>1306252.55306594</v>
      </c>
      <c r="I260" s="15">
        <v>745583.38425</v>
      </c>
      <c r="J260" s="15">
        <f>SUM(Tasaus[[#This Row],[Laskennallinen kunnallisvero, €]:[Laskennallinen kiinteistövero, €]])</f>
        <v>7349634.2531050844</v>
      </c>
      <c r="K260" s="15">
        <f>Tasaus[[#This Row],[Laskennallinen verotulo yhteensä, €]]/Tasaus[[#This Row],[Asukasluku 31.12.2022]]</f>
        <v>1466.9928648912344</v>
      </c>
      <c r="L260" s="34">
        <f>$K$11-Tasaus[[#This Row],[Laskennallinen verotulo yhteensä, €/asukas (=tasausraja)]]</f>
        <v>676.96713510876566</v>
      </c>
      <c r="M260" s="369">
        <f>IF(Tasaus[[#This Row],[Erotus = tasausraja - laskennallinen verotulo, €/asukas]]&gt;0,(Tasaus[[#This Row],[Erotus = tasausraja - laskennallinen verotulo, €/asukas]]*$B$7),(Tasaus[[#This Row],[Erotus = tasausraja - laskennallinen verotulo, €/asukas]]*$B$8))</f>
        <v>609.27042159788914</v>
      </c>
      <c r="N260" s="370">
        <f>Tasaus[[#This Row],[Tasaus,  €/asukas]]*Tasaus[[#This Row],[Asukasluku 31.12.2022]]</f>
        <v>3052444.8122054245</v>
      </c>
      <c r="P260" s="116"/>
      <c r="Q260" s="117"/>
      <c r="R260" s="118"/>
    </row>
    <row r="261" spans="1:18">
      <c r="A261" s="266">
        <v>831</v>
      </c>
      <c r="B261" s="13" t="s">
        <v>618</v>
      </c>
      <c r="C261" s="267">
        <v>4567</v>
      </c>
      <c r="D261" s="268">
        <v>8.36</v>
      </c>
      <c r="E261" s="14">
        <v>8105400.8114409409</v>
      </c>
      <c r="F261" s="14">
        <f>Tasaus[[#This Row],[Kunnallisvero (maksuunpantu), €]]*100/Tasaus[[#This Row],[Tuloveroprosentti 2023]]</f>
        <v>96954555.160776809</v>
      </c>
      <c r="G261" s="269">
        <f>Tasaus[[#This Row],[Verotettava tulo (kunnallisvero), €]]*($D$11/100)</f>
        <v>7145550.7153492523</v>
      </c>
      <c r="H261" s="14">
        <v>474504.11599879048</v>
      </c>
      <c r="I261" s="15">
        <v>995648.55205000006</v>
      </c>
      <c r="J261" s="15">
        <f>SUM(Tasaus[[#This Row],[Laskennallinen kunnallisvero, €]:[Laskennallinen kiinteistövero, €]])</f>
        <v>8615703.383398043</v>
      </c>
      <c r="K261" s="15">
        <f>Tasaus[[#This Row],[Laskennallinen verotulo yhteensä, €]]/Tasaus[[#This Row],[Asukasluku 31.12.2022]]</f>
        <v>1886.5126742715224</v>
      </c>
      <c r="L261" s="34">
        <f>$K$11-Tasaus[[#This Row],[Laskennallinen verotulo yhteensä, €/asukas (=tasausraja)]]</f>
        <v>257.44732572847761</v>
      </c>
      <c r="M261" s="369">
        <f>IF(Tasaus[[#This Row],[Erotus = tasausraja - laskennallinen verotulo, €/asukas]]&gt;0,(Tasaus[[#This Row],[Erotus = tasausraja - laskennallinen verotulo, €/asukas]]*$B$7),(Tasaus[[#This Row],[Erotus = tasausraja - laskennallinen verotulo, €/asukas]]*$B$8))</f>
        <v>231.70259315562984</v>
      </c>
      <c r="N261" s="370">
        <f>Tasaus[[#This Row],[Tasaus,  €/asukas]]*Tasaus[[#This Row],[Asukasluku 31.12.2022]]</f>
        <v>1058185.7429417614</v>
      </c>
      <c r="P261" s="116"/>
      <c r="Q261" s="117"/>
      <c r="R261" s="118"/>
    </row>
    <row r="262" spans="1:18">
      <c r="A262" s="266">
        <v>832</v>
      </c>
      <c r="B262" s="13" t="s">
        <v>619</v>
      </c>
      <c r="C262" s="267">
        <v>3793</v>
      </c>
      <c r="D262" s="268">
        <v>7.8599999999999994</v>
      </c>
      <c r="E262" s="14">
        <v>4540646.7268852899</v>
      </c>
      <c r="F262" s="14">
        <f>Tasaus[[#This Row],[Kunnallisvero (maksuunpantu), €]]*100/Tasaus[[#This Row],[Tuloveroprosentti 2023]]</f>
        <v>57769042.326784864</v>
      </c>
      <c r="G262" s="269">
        <f>Tasaus[[#This Row],[Verotettava tulo (kunnallisvero), €]]*($D$11/100)</f>
        <v>4257578.4194840454</v>
      </c>
      <c r="H262" s="14">
        <v>1082792.8522973678</v>
      </c>
      <c r="I262" s="15">
        <v>585343.02120000008</v>
      </c>
      <c r="J262" s="15">
        <f>SUM(Tasaus[[#This Row],[Laskennallinen kunnallisvero, €]:[Laskennallinen kiinteistövero, €]])</f>
        <v>5925714.2929814132</v>
      </c>
      <c r="K262" s="15">
        <f>Tasaus[[#This Row],[Laskennallinen verotulo yhteensä, €]]/Tasaus[[#This Row],[Asukasluku 31.12.2022]]</f>
        <v>1562.2763756871641</v>
      </c>
      <c r="L262" s="34">
        <f>$K$11-Tasaus[[#This Row],[Laskennallinen verotulo yhteensä, €/asukas (=tasausraja)]]</f>
        <v>581.68362431283595</v>
      </c>
      <c r="M262" s="369">
        <f>IF(Tasaus[[#This Row],[Erotus = tasausraja - laskennallinen verotulo, €/asukas]]&gt;0,(Tasaus[[#This Row],[Erotus = tasausraja - laskennallinen verotulo, €/asukas]]*$B$7),(Tasaus[[#This Row],[Erotus = tasausraja - laskennallinen verotulo, €/asukas]]*$B$8))</f>
        <v>523.51526188155242</v>
      </c>
      <c r="N262" s="370">
        <f>Tasaus[[#This Row],[Tasaus,  €/asukas]]*Tasaus[[#This Row],[Asukasluku 31.12.2022]]</f>
        <v>1985693.3883167284</v>
      </c>
      <c r="P262" s="116"/>
      <c r="Q262" s="117"/>
    </row>
    <row r="263" spans="1:18">
      <c r="A263" s="266">
        <v>833</v>
      </c>
      <c r="B263" s="13" t="s">
        <v>620</v>
      </c>
      <c r="C263" s="267">
        <v>1673</v>
      </c>
      <c r="D263" s="268">
        <v>7.8599999999999994</v>
      </c>
      <c r="E263" s="14">
        <v>2182932.01473347</v>
      </c>
      <c r="F263" s="14">
        <f>Tasaus[[#This Row],[Kunnallisvero (maksuunpantu), €]]*100/Tasaus[[#This Row],[Tuloveroprosentti 2023]]</f>
        <v>27772671.943173923</v>
      </c>
      <c r="G263" s="269">
        <f>Tasaus[[#This Row],[Verotettava tulo (kunnallisvero), €]]*($D$11/100)</f>
        <v>2046845.9222119185</v>
      </c>
      <c r="H263" s="14">
        <v>223957.083184772</v>
      </c>
      <c r="I263" s="15">
        <v>612300.28885000001</v>
      </c>
      <c r="J263" s="15">
        <f>SUM(Tasaus[[#This Row],[Laskennallinen kunnallisvero, €]:[Laskennallinen kiinteistövero, €]])</f>
        <v>2883103.2942466908</v>
      </c>
      <c r="K263" s="15">
        <f>Tasaus[[#This Row],[Laskennallinen verotulo yhteensä, €]]/Tasaus[[#This Row],[Asukasluku 31.12.2022]]</f>
        <v>1723.3133856824213</v>
      </c>
      <c r="L263" s="34">
        <f>$K$11-Tasaus[[#This Row],[Laskennallinen verotulo yhteensä, €/asukas (=tasausraja)]]</f>
        <v>420.64661431757872</v>
      </c>
      <c r="M263" s="369">
        <f>IF(Tasaus[[#This Row],[Erotus = tasausraja - laskennallinen verotulo, €/asukas]]&gt;0,(Tasaus[[#This Row],[Erotus = tasausraja - laskennallinen verotulo, €/asukas]]*$B$7),(Tasaus[[#This Row],[Erotus = tasausraja - laskennallinen verotulo, €/asukas]]*$B$8))</f>
        <v>378.58195288582084</v>
      </c>
      <c r="N263" s="370">
        <f>Tasaus[[#This Row],[Tasaus,  €/asukas]]*Tasaus[[#This Row],[Asukasluku 31.12.2022]]</f>
        <v>633367.60717797827</v>
      </c>
      <c r="P263" s="116"/>
      <c r="Q263" s="117"/>
    </row>
    <row r="264" spans="1:18">
      <c r="A264" s="266">
        <v>834</v>
      </c>
      <c r="B264" s="13" t="s">
        <v>621</v>
      </c>
      <c r="C264" s="267">
        <v>5902</v>
      </c>
      <c r="D264" s="268">
        <v>8.610000000000003</v>
      </c>
      <c r="E264" s="14">
        <v>9906159.3932146989</v>
      </c>
      <c r="F264" s="14">
        <f>Tasaus[[#This Row],[Kunnallisvero (maksuunpantu), €]]*100/Tasaus[[#This Row],[Tuloveroprosentti 2023]]</f>
        <v>115054116.06521133</v>
      </c>
      <c r="G264" s="269">
        <f>Tasaus[[#This Row],[Verotettava tulo (kunnallisvero), €]]*($D$11/100)</f>
        <v>8479488.3540060762</v>
      </c>
      <c r="H264" s="14">
        <v>1048603.8509589981</v>
      </c>
      <c r="I264" s="15">
        <v>1065928.7871000001</v>
      </c>
      <c r="J264" s="15">
        <f>SUM(Tasaus[[#This Row],[Laskennallinen kunnallisvero, €]:[Laskennallinen kiinteistövero, €]])</f>
        <v>10594020.992065074</v>
      </c>
      <c r="K264" s="15">
        <f>Tasaus[[#This Row],[Laskennallinen verotulo yhteensä, €]]/Tasaus[[#This Row],[Asukasluku 31.12.2022]]</f>
        <v>1794.9883077033335</v>
      </c>
      <c r="L264" s="34">
        <f>$K$11-Tasaus[[#This Row],[Laskennallinen verotulo yhteensä, €/asukas (=tasausraja)]]</f>
        <v>348.97169229666656</v>
      </c>
      <c r="M264" s="369">
        <f>IF(Tasaus[[#This Row],[Erotus = tasausraja - laskennallinen verotulo, €/asukas]]&gt;0,(Tasaus[[#This Row],[Erotus = tasausraja - laskennallinen verotulo, €/asukas]]*$B$7),(Tasaus[[#This Row],[Erotus = tasausraja - laskennallinen verotulo, €/asukas]]*$B$8))</f>
        <v>314.07452306699992</v>
      </c>
      <c r="N264" s="370">
        <f>Tasaus[[#This Row],[Tasaus,  €/asukas]]*Tasaus[[#This Row],[Asukasluku 31.12.2022]]</f>
        <v>1853667.8351414334</v>
      </c>
      <c r="P264" s="116"/>
      <c r="Q264" s="117"/>
    </row>
    <row r="265" spans="1:18">
      <c r="A265" s="266">
        <v>837</v>
      </c>
      <c r="B265" s="13" t="s">
        <v>622</v>
      </c>
      <c r="C265" s="267">
        <v>247918</v>
      </c>
      <c r="D265" s="268">
        <v>7.6099999999999994</v>
      </c>
      <c r="E265" s="14">
        <v>412771515.2258966</v>
      </c>
      <c r="F265" s="14">
        <f>Tasaus[[#This Row],[Kunnallisvero (maksuunpantu), €]]*100/Tasaus[[#This Row],[Tuloveroprosentti 2023]]</f>
        <v>5424067217.1602716</v>
      </c>
      <c r="G265" s="269">
        <f>Tasaus[[#This Row],[Verotettava tulo (kunnallisvero), €]]*($D$11/100)</f>
        <v>399753753.90471208</v>
      </c>
      <c r="H265" s="14">
        <v>89016709.361987457</v>
      </c>
      <c r="I265" s="15">
        <v>44925398.202150002</v>
      </c>
      <c r="J265" s="15">
        <f>SUM(Tasaus[[#This Row],[Laskennallinen kunnallisvero, €]:[Laskennallinen kiinteistövero, €]])</f>
        <v>533695861.46884954</v>
      </c>
      <c r="K265" s="15">
        <f>Tasaus[[#This Row],[Laskennallinen verotulo yhteensä, €]]/Tasaus[[#This Row],[Asukasluku 31.12.2022]]</f>
        <v>2152.7112249568386</v>
      </c>
      <c r="L265" s="34">
        <f>$K$11-Tasaus[[#This Row],[Laskennallinen verotulo yhteensä, €/asukas (=tasausraja)]]</f>
        <v>-8.7512249568385414</v>
      </c>
      <c r="M265" s="369">
        <f>IF(Tasaus[[#This Row],[Erotus = tasausraja - laskennallinen verotulo, €/asukas]]&gt;0,(Tasaus[[#This Row],[Erotus = tasausraja - laskennallinen verotulo, €/asukas]]*$B$7),(Tasaus[[#This Row],[Erotus = tasausraja - laskennallinen verotulo, €/asukas]]*$B$8))</f>
        <v>-0.87512249568385414</v>
      </c>
      <c r="N265" s="370">
        <f>Tasaus[[#This Row],[Tasaus,  €/asukas]]*Tasaus[[#This Row],[Asukasluku 31.12.2022]]</f>
        <v>-216958.61888494974</v>
      </c>
      <c r="P265" s="116"/>
      <c r="Q265" s="117"/>
    </row>
    <row r="266" spans="1:18">
      <c r="A266" s="266">
        <v>844</v>
      </c>
      <c r="B266" s="13" t="s">
        <v>623</v>
      </c>
      <c r="C266" s="267">
        <v>1462</v>
      </c>
      <c r="D266" s="268">
        <v>8.86</v>
      </c>
      <c r="E266" s="14">
        <v>1878439.7806263599</v>
      </c>
      <c r="F266" s="14">
        <f>Tasaus[[#This Row],[Kunnallisvero (maksuunpantu), €]]*100/Tasaus[[#This Row],[Tuloveroprosentti 2023]]</f>
        <v>21201351.925805416</v>
      </c>
      <c r="G266" s="269">
        <f>Tasaus[[#This Row],[Verotettava tulo (kunnallisvero), €]]*($D$11/100)</f>
        <v>1562539.6369318594</v>
      </c>
      <c r="H266" s="14">
        <v>348173.0395377595</v>
      </c>
      <c r="I266" s="15">
        <v>273099.94769999996</v>
      </c>
      <c r="J266" s="15">
        <f>SUM(Tasaus[[#This Row],[Laskennallinen kunnallisvero, €]:[Laskennallinen kiinteistövero, €]])</f>
        <v>2183812.6241696188</v>
      </c>
      <c r="K266" s="15">
        <f>Tasaus[[#This Row],[Laskennallinen verotulo yhteensä, €]]/Tasaus[[#This Row],[Asukasluku 31.12.2022]]</f>
        <v>1493.7158852049376</v>
      </c>
      <c r="L266" s="34">
        <f>$K$11-Tasaus[[#This Row],[Laskennallinen verotulo yhteensä, €/asukas (=tasausraja)]]</f>
        <v>650.24411479506239</v>
      </c>
      <c r="M266" s="369">
        <f>IF(Tasaus[[#This Row],[Erotus = tasausraja - laskennallinen verotulo, €/asukas]]&gt;0,(Tasaus[[#This Row],[Erotus = tasausraja - laskennallinen verotulo, €/asukas]]*$B$7),(Tasaus[[#This Row],[Erotus = tasausraja - laskennallinen verotulo, €/asukas]]*$B$8))</f>
        <v>585.21970331555622</v>
      </c>
      <c r="N266" s="370">
        <f>Tasaus[[#This Row],[Tasaus,  €/asukas]]*Tasaus[[#This Row],[Asukasluku 31.12.2022]]</f>
        <v>855591.20624734322</v>
      </c>
      <c r="P266" s="116"/>
      <c r="Q266" s="117"/>
    </row>
    <row r="267" spans="1:18">
      <c r="A267" s="266">
        <v>845</v>
      </c>
      <c r="B267" s="13" t="s">
        <v>624</v>
      </c>
      <c r="C267" s="267">
        <v>2817</v>
      </c>
      <c r="D267" s="268">
        <v>7.3599999999999994</v>
      </c>
      <c r="E267" s="14">
        <v>3552288.9619490695</v>
      </c>
      <c r="F267" s="14">
        <f>Tasaus[[#This Row],[Kunnallisvero (maksuunpantu), €]]*100/Tasaus[[#This Row],[Tuloveroprosentti 2023]]</f>
        <v>48264795.67865584</v>
      </c>
      <c r="G267" s="269">
        <f>Tasaus[[#This Row],[Verotettava tulo (kunnallisvero), €]]*($D$11/100)</f>
        <v>3557115.4415169363</v>
      </c>
      <c r="H267" s="14">
        <v>656868.26315362204</v>
      </c>
      <c r="I267" s="15">
        <v>486232.22564999998</v>
      </c>
      <c r="J267" s="15">
        <f>SUM(Tasaus[[#This Row],[Laskennallinen kunnallisvero, €]:[Laskennallinen kiinteistövero, €]])</f>
        <v>4700215.9303205591</v>
      </c>
      <c r="K267" s="15">
        <f>Tasaus[[#This Row],[Laskennallinen verotulo yhteensä, €]]/Tasaus[[#This Row],[Asukasluku 31.12.2022]]</f>
        <v>1668.518257124799</v>
      </c>
      <c r="L267" s="34">
        <f>$K$11-Tasaus[[#This Row],[Laskennallinen verotulo yhteensä, €/asukas (=tasausraja)]]</f>
        <v>475.44174287520104</v>
      </c>
      <c r="M267" s="369">
        <f>IF(Tasaus[[#This Row],[Erotus = tasausraja - laskennallinen verotulo, €/asukas]]&gt;0,(Tasaus[[#This Row],[Erotus = tasausraja - laskennallinen verotulo, €/asukas]]*$B$7),(Tasaus[[#This Row],[Erotus = tasausraja - laskennallinen verotulo, €/asukas]]*$B$8))</f>
        <v>427.89756858768095</v>
      </c>
      <c r="N267" s="370">
        <f>Tasaus[[#This Row],[Tasaus,  €/asukas]]*Tasaus[[#This Row],[Asukasluku 31.12.2022]]</f>
        <v>1205387.4507114973</v>
      </c>
      <c r="P267" s="116"/>
      <c r="Q267" s="117"/>
    </row>
    <row r="268" spans="1:18">
      <c r="A268" s="266">
        <v>846</v>
      </c>
      <c r="B268" s="13" t="s">
        <v>625</v>
      </c>
      <c r="C268" s="267">
        <v>4796</v>
      </c>
      <c r="D268" s="268">
        <v>9.86</v>
      </c>
      <c r="E268" s="14">
        <v>7526495.2260382501</v>
      </c>
      <c r="F268" s="14">
        <f>Tasaus[[#This Row],[Kunnallisvero (maksuunpantu), €]]*100/Tasaus[[#This Row],[Tuloveroprosentti 2023]]</f>
        <v>76333622.98213236</v>
      </c>
      <c r="G268" s="269">
        <f>Tasaus[[#This Row],[Verotettava tulo (kunnallisvero), €]]*($D$11/100)</f>
        <v>5625788.0137831559</v>
      </c>
      <c r="H268" s="14">
        <v>857548.69759511063</v>
      </c>
      <c r="I268" s="15">
        <v>578776.70469999989</v>
      </c>
      <c r="J268" s="15">
        <f>SUM(Tasaus[[#This Row],[Laskennallinen kunnallisvero, €]:[Laskennallinen kiinteistövero, €]])</f>
        <v>7062113.4160782667</v>
      </c>
      <c r="K268" s="15">
        <f>Tasaus[[#This Row],[Laskennallinen verotulo yhteensä, €]]/Tasaus[[#This Row],[Asukasluku 31.12.2022]]</f>
        <v>1472.500712276536</v>
      </c>
      <c r="L268" s="34">
        <f>$K$11-Tasaus[[#This Row],[Laskennallinen verotulo yhteensä, €/asukas (=tasausraja)]]</f>
        <v>671.45928772346406</v>
      </c>
      <c r="M268" s="369">
        <f>IF(Tasaus[[#This Row],[Erotus = tasausraja - laskennallinen verotulo, €/asukas]]&gt;0,(Tasaus[[#This Row],[Erotus = tasausraja - laskennallinen verotulo, €/asukas]]*$B$7),(Tasaus[[#This Row],[Erotus = tasausraja - laskennallinen verotulo, €/asukas]]*$B$8))</f>
        <v>604.31335895111772</v>
      </c>
      <c r="N268" s="370">
        <f>Tasaus[[#This Row],[Tasaus,  €/asukas]]*Tasaus[[#This Row],[Asukasluku 31.12.2022]]</f>
        <v>2898286.8695295607</v>
      </c>
      <c r="P268" s="116"/>
      <c r="Q268" s="117"/>
    </row>
    <row r="269" spans="1:18">
      <c r="A269" s="266">
        <v>848</v>
      </c>
      <c r="B269" s="13" t="s">
        <v>626</v>
      </c>
      <c r="C269" s="267">
        <v>4131</v>
      </c>
      <c r="D269" s="268">
        <v>9.11</v>
      </c>
      <c r="E269" s="14">
        <v>5584736.2356494796</v>
      </c>
      <c r="F269" s="14">
        <f>Tasaus[[#This Row],[Kunnallisvero (maksuunpantu), €]]*100/Tasaus[[#This Row],[Tuloveroprosentti 2023]]</f>
        <v>61303361.532925136</v>
      </c>
      <c r="G269" s="269">
        <f>Tasaus[[#This Row],[Verotettava tulo (kunnallisvero), €]]*($D$11/100)</f>
        <v>4518057.7449765839</v>
      </c>
      <c r="H269" s="14">
        <v>738434.18447420106</v>
      </c>
      <c r="I269" s="15">
        <v>570857.87945000001</v>
      </c>
      <c r="J269" s="15">
        <f>SUM(Tasaus[[#This Row],[Laskennallinen kunnallisvero, €]:[Laskennallinen kiinteistövero, €]])</f>
        <v>5827349.8089007847</v>
      </c>
      <c r="K269" s="15">
        <f>Tasaus[[#This Row],[Laskennallinen verotulo yhteensä, €]]/Tasaus[[#This Row],[Asukasluku 31.12.2022]]</f>
        <v>1410.6390241831964</v>
      </c>
      <c r="L269" s="34">
        <f>$K$11-Tasaus[[#This Row],[Laskennallinen verotulo yhteensä, €/asukas (=tasausraja)]]</f>
        <v>733.32097581680364</v>
      </c>
      <c r="M269" s="369">
        <f>IF(Tasaus[[#This Row],[Erotus = tasausraja - laskennallinen verotulo, €/asukas]]&gt;0,(Tasaus[[#This Row],[Erotus = tasausraja - laskennallinen verotulo, €/asukas]]*$B$7),(Tasaus[[#This Row],[Erotus = tasausraja - laskennallinen verotulo, €/asukas]]*$B$8))</f>
        <v>659.98887823512325</v>
      </c>
      <c r="N269" s="370">
        <f>Tasaus[[#This Row],[Tasaus,  €/asukas]]*Tasaus[[#This Row],[Asukasluku 31.12.2022]]</f>
        <v>2726414.0559892943</v>
      </c>
      <c r="P269" s="116"/>
      <c r="Q269" s="117"/>
    </row>
    <row r="270" spans="1:18">
      <c r="A270" s="266">
        <v>849</v>
      </c>
      <c r="B270" s="13" t="s">
        <v>627</v>
      </c>
      <c r="C270" s="267">
        <v>2829</v>
      </c>
      <c r="D270" s="268">
        <v>9.11</v>
      </c>
      <c r="E270" s="14">
        <v>3835193.0489331903</v>
      </c>
      <c r="F270" s="14">
        <f>Tasaus[[#This Row],[Kunnallisvero (maksuunpantu), €]]*100/Tasaus[[#This Row],[Tuloveroprosentti 2023]]</f>
        <v>42098716.234173328</v>
      </c>
      <c r="G270" s="269">
        <f>Tasaus[[#This Row],[Verotettava tulo (kunnallisvero), €]]*($D$11/100)</f>
        <v>3102675.3864585748</v>
      </c>
      <c r="H270" s="14">
        <v>571662.0631851512</v>
      </c>
      <c r="I270" s="15">
        <v>372940.59029999998</v>
      </c>
      <c r="J270" s="15">
        <f>SUM(Tasaus[[#This Row],[Laskennallinen kunnallisvero, €]:[Laskennallinen kiinteistövero, €]])</f>
        <v>4047278.0399437258</v>
      </c>
      <c r="K270" s="15">
        <f>Tasaus[[#This Row],[Laskennallinen verotulo yhteensä, €]]/Tasaus[[#This Row],[Asukasluku 31.12.2022]]</f>
        <v>1430.639109205983</v>
      </c>
      <c r="L270" s="34">
        <f>$K$11-Tasaus[[#This Row],[Laskennallinen verotulo yhteensä, €/asukas (=tasausraja)]]</f>
        <v>713.32089079401703</v>
      </c>
      <c r="M270" s="369">
        <f>IF(Tasaus[[#This Row],[Erotus = tasausraja - laskennallinen verotulo, €/asukas]]&gt;0,(Tasaus[[#This Row],[Erotus = tasausraja - laskennallinen verotulo, €/asukas]]*$B$7),(Tasaus[[#This Row],[Erotus = tasausraja - laskennallinen verotulo, €/asukas]]*$B$8))</f>
        <v>641.98880171461531</v>
      </c>
      <c r="N270" s="370">
        <f>Tasaus[[#This Row],[Tasaus,  €/asukas]]*Tasaus[[#This Row],[Asukasluku 31.12.2022]]</f>
        <v>1816186.3200506468</v>
      </c>
      <c r="P270" s="116"/>
      <c r="Q270" s="117"/>
    </row>
    <row r="271" spans="1:18">
      <c r="A271" s="266">
        <v>850</v>
      </c>
      <c r="B271" s="13" t="s">
        <v>628</v>
      </c>
      <c r="C271" s="267">
        <v>2398</v>
      </c>
      <c r="D271" s="268">
        <v>8.36</v>
      </c>
      <c r="E271" s="14">
        <v>3429082.9674898298</v>
      </c>
      <c r="F271" s="14">
        <f>Tasaus[[#This Row],[Kunnallisvero (maksuunpantu), €]]*100/Tasaus[[#This Row],[Tuloveroprosentti 2023]]</f>
        <v>41017738.845572129</v>
      </c>
      <c r="G271" s="269">
        <f>Tasaus[[#This Row],[Verotettava tulo (kunnallisvero), €]]*($D$11/100)</f>
        <v>3023007.3529186663</v>
      </c>
      <c r="H271" s="14">
        <v>537253.41688656865</v>
      </c>
      <c r="I271" s="15">
        <v>401957.57954999997</v>
      </c>
      <c r="J271" s="15">
        <f>SUM(Tasaus[[#This Row],[Laskennallinen kunnallisvero, €]:[Laskennallinen kiinteistövero, €]])</f>
        <v>3962218.3493552348</v>
      </c>
      <c r="K271" s="15">
        <f>Tasaus[[#This Row],[Laskennallinen verotulo yhteensä, €]]/Tasaus[[#This Row],[Asukasluku 31.12.2022]]</f>
        <v>1652.3012299229504</v>
      </c>
      <c r="L271" s="34">
        <f>$K$11-Tasaus[[#This Row],[Laskennallinen verotulo yhteensä, €/asukas (=tasausraja)]]</f>
        <v>491.65877007704967</v>
      </c>
      <c r="M271" s="369">
        <f>IF(Tasaus[[#This Row],[Erotus = tasausraja - laskennallinen verotulo, €/asukas]]&gt;0,(Tasaus[[#This Row],[Erotus = tasausraja - laskennallinen verotulo, €/asukas]]*$B$7),(Tasaus[[#This Row],[Erotus = tasausraja - laskennallinen verotulo, €/asukas]]*$B$8))</f>
        <v>442.49289306934469</v>
      </c>
      <c r="N271" s="370">
        <f>Tasaus[[#This Row],[Tasaus,  €/asukas]]*Tasaus[[#This Row],[Asukasluku 31.12.2022]]</f>
        <v>1061097.9575802886</v>
      </c>
      <c r="P271" s="116"/>
      <c r="Q271" s="117"/>
    </row>
    <row r="272" spans="1:18">
      <c r="A272" s="266">
        <v>851</v>
      </c>
      <c r="B272" s="13" t="s">
        <v>629</v>
      </c>
      <c r="C272" s="267">
        <v>21183</v>
      </c>
      <c r="D272" s="268">
        <v>8.36</v>
      </c>
      <c r="E272" s="14">
        <v>35818078.175130583</v>
      </c>
      <c r="F272" s="14">
        <f>Tasaus[[#This Row],[Kunnallisvero (maksuunpantu), €]]*100/Tasaus[[#This Row],[Tuloveroprosentti 2023]]</f>
        <v>428445911.18577254</v>
      </c>
      <c r="G272" s="269">
        <f>Tasaus[[#This Row],[Verotettava tulo (kunnallisvero), €]]*($D$11/100)</f>
        <v>31576463.654391441</v>
      </c>
      <c r="H272" s="14">
        <v>2965599.2255338854</v>
      </c>
      <c r="I272" s="15">
        <v>3555122.2268500002</v>
      </c>
      <c r="J272" s="15">
        <f>SUM(Tasaus[[#This Row],[Laskennallinen kunnallisvero, €]:[Laskennallinen kiinteistövero, €]])</f>
        <v>38097185.106775329</v>
      </c>
      <c r="K272" s="15">
        <f>Tasaus[[#This Row],[Laskennallinen verotulo yhteensä, €]]/Tasaus[[#This Row],[Asukasluku 31.12.2022]]</f>
        <v>1798.4792100635098</v>
      </c>
      <c r="L272" s="34">
        <f>$K$11-Tasaus[[#This Row],[Laskennallinen verotulo yhteensä, €/asukas (=tasausraja)]]</f>
        <v>345.48078993649028</v>
      </c>
      <c r="M272" s="369">
        <f>IF(Tasaus[[#This Row],[Erotus = tasausraja - laskennallinen verotulo, €/asukas]]&gt;0,(Tasaus[[#This Row],[Erotus = tasausraja - laskennallinen verotulo, €/asukas]]*$B$7),(Tasaus[[#This Row],[Erotus = tasausraja - laskennallinen verotulo, €/asukas]]*$B$8))</f>
        <v>310.93271094284125</v>
      </c>
      <c r="N272" s="370">
        <f>Tasaus[[#This Row],[Tasaus,  €/asukas]]*Tasaus[[#This Row],[Asukasluku 31.12.2022]]</f>
        <v>6586487.6159022059</v>
      </c>
      <c r="P272" s="116"/>
      <c r="Q272" s="117"/>
    </row>
    <row r="273" spans="1:17">
      <c r="A273" s="266">
        <v>853</v>
      </c>
      <c r="B273" s="13" t="s">
        <v>630</v>
      </c>
      <c r="C273" s="267">
        <v>197464</v>
      </c>
      <c r="D273" s="268">
        <v>6.8599999999999994</v>
      </c>
      <c r="E273" s="14">
        <v>282502673.90539795</v>
      </c>
      <c r="F273" s="14">
        <f>Tasaus[[#This Row],[Kunnallisvero (maksuunpantu), €]]*100/Tasaus[[#This Row],[Tuloveroprosentti 2023]]</f>
        <v>4118114779.9620695</v>
      </c>
      <c r="G273" s="269">
        <f>Tasaus[[#This Row],[Verotettava tulo (kunnallisvero), €]]*($D$11/100)</f>
        <v>303505059.28320462</v>
      </c>
      <c r="H273" s="14">
        <v>106066632.06296271</v>
      </c>
      <c r="I273" s="15">
        <v>38137222.886599995</v>
      </c>
      <c r="J273" s="15">
        <f>SUM(Tasaus[[#This Row],[Laskennallinen kunnallisvero, €]:[Laskennallinen kiinteistövero, €]])</f>
        <v>447708914.23276734</v>
      </c>
      <c r="K273" s="15">
        <f>Tasaus[[#This Row],[Laskennallinen verotulo yhteensä, €]]/Tasaus[[#This Row],[Asukasluku 31.12.2022]]</f>
        <v>2267.2938572740718</v>
      </c>
      <c r="L273" s="34">
        <f>$K$11-Tasaus[[#This Row],[Laskennallinen verotulo yhteensä, €/asukas (=tasausraja)]]</f>
        <v>-123.33385727407176</v>
      </c>
      <c r="M273" s="369">
        <f>IF(Tasaus[[#This Row],[Erotus = tasausraja - laskennallinen verotulo, €/asukas]]&gt;0,(Tasaus[[#This Row],[Erotus = tasausraja - laskennallinen verotulo, €/asukas]]*$B$7),(Tasaus[[#This Row],[Erotus = tasausraja - laskennallinen verotulo, €/asukas]]*$B$8))</f>
        <v>-12.333385727407176</v>
      </c>
      <c r="N273" s="370">
        <f>Tasaus[[#This Row],[Tasaus,  €/asukas]]*Tasaus[[#This Row],[Asukasluku 31.12.2022]]</f>
        <v>-2435399.6792767304</v>
      </c>
      <c r="P273" s="116"/>
      <c r="Q273" s="117"/>
    </row>
    <row r="274" spans="1:17">
      <c r="A274" s="266">
        <v>854</v>
      </c>
      <c r="B274" s="13" t="s">
        <v>631</v>
      </c>
      <c r="C274" s="267">
        <v>3179</v>
      </c>
      <c r="D274" s="268">
        <v>8.61</v>
      </c>
      <c r="E274" s="14">
        <v>4653555.4461477892</v>
      </c>
      <c r="F274" s="14">
        <f>Tasaus[[#This Row],[Kunnallisvero (maksuunpantu), €]]*100/Tasaus[[#This Row],[Tuloveroprosentti 2023]]</f>
        <v>54048263.021460973</v>
      </c>
      <c r="G274" s="269">
        <f>Tasaus[[#This Row],[Verotettava tulo (kunnallisvero), €]]*($D$11/100)</f>
        <v>3983356.9846816747</v>
      </c>
      <c r="H274" s="14">
        <v>752008.09547885088</v>
      </c>
      <c r="I274" s="15">
        <v>539779.56924999994</v>
      </c>
      <c r="J274" s="15">
        <f>SUM(Tasaus[[#This Row],[Laskennallinen kunnallisvero, €]:[Laskennallinen kiinteistövero, €]])</f>
        <v>5275144.6494105253</v>
      </c>
      <c r="K274" s="15">
        <f>Tasaus[[#This Row],[Laskennallinen verotulo yhteensä, €]]/Tasaus[[#This Row],[Asukasluku 31.12.2022]]</f>
        <v>1659.3723338818891</v>
      </c>
      <c r="L274" s="34">
        <f>$K$11-Tasaus[[#This Row],[Laskennallinen verotulo yhteensä, €/asukas (=tasausraja)]]</f>
        <v>484.58766611811097</v>
      </c>
      <c r="M274" s="369">
        <f>IF(Tasaus[[#This Row],[Erotus = tasausraja - laskennallinen verotulo, €/asukas]]&gt;0,(Tasaus[[#This Row],[Erotus = tasausraja - laskennallinen verotulo, €/asukas]]*$B$7),(Tasaus[[#This Row],[Erotus = tasausraja - laskennallinen verotulo, €/asukas]]*$B$8))</f>
        <v>436.12889950629989</v>
      </c>
      <c r="N274" s="370">
        <f>Tasaus[[#This Row],[Tasaus,  €/asukas]]*Tasaus[[#This Row],[Asukasluku 31.12.2022]]</f>
        <v>1386453.7715305274</v>
      </c>
      <c r="P274" s="116"/>
      <c r="Q274" s="117"/>
    </row>
    <row r="275" spans="1:17">
      <c r="A275" s="266">
        <v>857</v>
      </c>
      <c r="B275" s="13" t="s">
        <v>632</v>
      </c>
      <c r="C275" s="267">
        <v>2329</v>
      </c>
      <c r="D275" s="268">
        <v>9.36</v>
      </c>
      <c r="E275" s="14">
        <v>3215640.3245959994</v>
      </c>
      <c r="F275" s="14">
        <f>Tasaus[[#This Row],[Kunnallisvero (maksuunpantu), €]]*100/Tasaus[[#This Row],[Tuloveroprosentti 2023]]</f>
        <v>34355131.673034184</v>
      </c>
      <c r="G275" s="269">
        <f>Tasaus[[#This Row],[Verotettava tulo (kunnallisvero), €]]*($D$11/100)</f>
        <v>2531973.2043026197</v>
      </c>
      <c r="H275" s="14">
        <v>646177.76856620645</v>
      </c>
      <c r="I275" s="15">
        <v>475497.4322000001</v>
      </c>
      <c r="J275" s="15">
        <f>SUM(Tasaus[[#This Row],[Laskennallinen kunnallisvero, €]:[Laskennallinen kiinteistövero, €]])</f>
        <v>3653648.4050688264</v>
      </c>
      <c r="K275" s="15">
        <f>Tasaus[[#This Row],[Laskennallinen verotulo yhteensä, €]]/Tasaus[[#This Row],[Asukasluku 31.12.2022]]</f>
        <v>1568.7627329621409</v>
      </c>
      <c r="L275" s="34">
        <f>$K$11-Tasaus[[#This Row],[Laskennallinen verotulo yhteensä, €/asukas (=tasausraja)]]</f>
        <v>575.19726703785909</v>
      </c>
      <c r="M275" s="369">
        <f>IF(Tasaus[[#This Row],[Erotus = tasausraja - laskennallinen verotulo, €/asukas]]&gt;0,(Tasaus[[#This Row],[Erotus = tasausraja - laskennallinen verotulo, €/asukas]]*$B$7),(Tasaus[[#This Row],[Erotus = tasausraja - laskennallinen verotulo, €/asukas]]*$B$8))</f>
        <v>517.67754033407323</v>
      </c>
      <c r="N275" s="370">
        <f>Tasaus[[#This Row],[Tasaus,  €/asukas]]*Tasaus[[#This Row],[Asukasluku 31.12.2022]]</f>
        <v>1205670.9914380566</v>
      </c>
      <c r="P275" s="116"/>
      <c r="Q275" s="117"/>
    </row>
    <row r="276" spans="1:17">
      <c r="A276" s="266">
        <v>858</v>
      </c>
      <c r="B276" s="13" t="s">
        <v>633</v>
      </c>
      <c r="C276" s="267">
        <v>39045</v>
      </c>
      <c r="D276" s="268">
        <v>7.1099999999999994</v>
      </c>
      <c r="E276" s="14">
        <v>75712703.077489868</v>
      </c>
      <c r="F276" s="14">
        <f>Tasaus[[#This Row],[Kunnallisvero (maksuunpantu), €]]*100/Tasaus[[#This Row],[Tuloveroprosentti 2023]]</f>
        <v>1064876273.9450053</v>
      </c>
      <c r="G276" s="269">
        <f>Tasaus[[#This Row],[Verotettava tulo (kunnallisvero), €]]*($D$11/100)</f>
        <v>78481381.389746904</v>
      </c>
      <c r="H276" s="14">
        <v>8298191.3917733459</v>
      </c>
      <c r="I276" s="15">
        <v>7759305.8464000002</v>
      </c>
      <c r="J276" s="15">
        <f>SUM(Tasaus[[#This Row],[Laskennallinen kunnallisvero, €]:[Laskennallinen kiinteistövero, €]])</f>
        <v>94538878.62792024</v>
      </c>
      <c r="K276" s="15">
        <f>Tasaus[[#This Row],[Laskennallinen verotulo yhteensä, €]]/Tasaus[[#This Row],[Asukasluku 31.12.2022]]</f>
        <v>2421.2800263265526</v>
      </c>
      <c r="L276" s="34">
        <f>$K$11-Tasaus[[#This Row],[Laskennallinen verotulo yhteensä, €/asukas (=tasausraja)]]</f>
        <v>-277.32002632655258</v>
      </c>
      <c r="M276" s="369">
        <f>IF(Tasaus[[#This Row],[Erotus = tasausraja - laskennallinen verotulo, €/asukas]]&gt;0,(Tasaus[[#This Row],[Erotus = tasausraja - laskennallinen verotulo, €/asukas]]*$B$7),(Tasaus[[#This Row],[Erotus = tasausraja - laskennallinen verotulo, €/asukas]]*$B$8))</f>
        <v>-27.732002632655259</v>
      </c>
      <c r="N276" s="370">
        <f>Tasaus[[#This Row],[Tasaus,  €/asukas]]*Tasaus[[#This Row],[Asukasluku 31.12.2022]]</f>
        <v>-1082796.0427920246</v>
      </c>
      <c r="P276" s="116"/>
      <c r="Q276" s="117"/>
    </row>
    <row r="277" spans="1:17">
      <c r="A277" s="266">
        <v>859</v>
      </c>
      <c r="B277" s="13" t="s">
        <v>634</v>
      </c>
      <c r="C277" s="267">
        <v>6544</v>
      </c>
      <c r="D277" s="268">
        <v>9.3599999999999959</v>
      </c>
      <c r="E277" s="14">
        <v>9790089.2298128475</v>
      </c>
      <c r="F277" s="14">
        <f>Tasaus[[#This Row],[Kunnallisvero (maksuunpantu), €]]*100/Tasaus[[#This Row],[Tuloveroprosentti 2023]]</f>
        <v>104594970.40398346</v>
      </c>
      <c r="G277" s="269">
        <f>Tasaus[[#This Row],[Verotettava tulo (kunnallisvero), €]]*($D$11/100)</f>
        <v>7708649.3187735826</v>
      </c>
      <c r="H277" s="14">
        <v>480976.54213113827</v>
      </c>
      <c r="I277" s="15">
        <v>501167.53875000007</v>
      </c>
      <c r="J277" s="15">
        <f>SUM(Tasaus[[#This Row],[Laskennallinen kunnallisvero, €]:[Laskennallinen kiinteistövero, €]])</f>
        <v>8690793.39965472</v>
      </c>
      <c r="K277" s="15">
        <f>Tasaus[[#This Row],[Laskennallinen verotulo yhteensä, €]]/Tasaus[[#This Row],[Asukasluku 31.12.2022]]</f>
        <v>1328.0552261086063</v>
      </c>
      <c r="L277" s="34">
        <f>$K$11-Tasaus[[#This Row],[Laskennallinen verotulo yhteensä, €/asukas (=tasausraja)]]</f>
        <v>815.90477389139369</v>
      </c>
      <c r="M277" s="369">
        <f>IF(Tasaus[[#This Row],[Erotus = tasausraja - laskennallinen verotulo, €/asukas]]&gt;0,(Tasaus[[#This Row],[Erotus = tasausraja - laskennallinen verotulo, €/asukas]]*$B$7),(Tasaus[[#This Row],[Erotus = tasausraja - laskennallinen verotulo, €/asukas]]*$B$8))</f>
        <v>734.31429650225436</v>
      </c>
      <c r="N277" s="370">
        <f>Tasaus[[#This Row],[Tasaus,  €/asukas]]*Tasaus[[#This Row],[Asukasluku 31.12.2022]]</f>
        <v>4805352.7563107526</v>
      </c>
      <c r="P277" s="116"/>
      <c r="Q277" s="117"/>
    </row>
    <row r="278" spans="1:17">
      <c r="A278" s="266">
        <v>886</v>
      </c>
      <c r="B278" s="13" t="s">
        <v>635</v>
      </c>
      <c r="C278" s="267">
        <v>12512</v>
      </c>
      <c r="D278" s="268">
        <v>8.86</v>
      </c>
      <c r="E278" s="14">
        <v>22544348.484680261</v>
      </c>
      <c r="F278" s="14">
        <f>Tasaus[[#This Row],[Kunnallisvero (maksuunpantu), €]]*100/Tasaus[[#This Row],[Tuloveroprosentti 2023]]</f>
        <v>254450885.83160567</v>
      </c>
      <c r="G278" s="269">
        <f>Tasaus[[#This Row],[Verotettava tulo (kunnallisvero), €]]*($D$11/100)</f>
        <v>18753030.285789341</v>
      </c>
      <c r="H278" s="14">
        <v>2280621.9400916784</v>
      </c>
      <c r="I278" s="15">
        <v>1430549.469</v>
      </c>
      <c r="J278" s="15">
        <f>SUM(Tasaus[[#This Row],[Laskennallinen kunnallisvero, €]:[Laskennallinen kiinteistövero, €]])</f>
        <v>22464201.694881018</v>
      </c>
      <c r="K278" s="15">
        <f>Tasaus[[#This Row],[Laskennallinen verotulo yhteensä, €]]/Tasaus[[#This Row],[Asukasluku 31.12.2022]]</f>
        <v>1795.4125395525111</v>
      </c>
      <c r="L278" s="34">
        <f>$K$11-Tasaus[[#This Row],[Laskennallinen verotulo yhteensä, €/asukas (=tasausraja)]]</f>
        <v>348.5474604474889</v>
      </c>
      <c r="M278" s="369">
        <f>IF(Tasaus[[#This Row],[Erotus = tasausraja - laskennallinen verotulo, €/asukas]]&gt;0,(Tasaus[[#This Row],[Erotus = tasausraja - laskennallinen verotulo, €/asukas]]*$B$7),(Tasaus[[#This Row],[Erotus = tasausraja - laskennallinen verotulo, €/asukas]]*$B$8))</f>
        <v>313.69271440274002</v>
      </c>
      <c r="N278" s="370">
        <f>Tasaus[[#This Row],[Tasaus,  €/asukas]]*Tasaus[[#This Row],[Asukasluku 31.12.2022]]</f>
        <v>3924923.2426070832</v>
      </c>
      <c r="P278" s="116"/>
      <c r="Q278" s="117"/>
    </row>
    <row r="279" spans="1:17">
      <c r="A279" s="266">
        <v>887</v>
      </c>
      <c r="B279" s="13" t="s">
        <v>636</v>
      </c>
      <c r="C279" s="267">
        <v>4534</v>
      </c>
      <c r="D279" s="268">
        <v>9.36</v>
      </c>
      <c r="E279" s="14">
        <v>6738031.0576843601</v>
      </c>
      <c r="F279" s="14">
        <f>Tasaus[[#This Row],[Kunnallisvero (maksuunpantu), €]]*100/Tasaus[[#This Row],[Tuloveroprosentti 2023]]</f>
        <v>71987511.300046578</v>
      </c>
      <c r="G279" s="269">
        <f>Tasaus[[#This Row],[Verotettava tulo (kunnallisvero), €]]*($D$11/100)</f>
        <v>5305479.5828134343</v>
      </c>
      <c r="H279" s="14">
        <v>739453.29282863892</v>
      </c>
      <c r="I279" s="15">
        <v>786972.73064999992</v>
      </c>
      <c r="J279" s="15">
        <f>SUM(Tasaus[[#This Row],[Laskennallinen kunnallisvero, €]:[Laskennallinen kiinteistövero, €]])</f>
        <v>6831905.6062920736</v>
      </c>
      <c r="K279" s="15">
        <f>Tasaus[[#This Row],[Laskennallinen verotulo yhteensä, €]]/Tasaus[[#This Row],[Asukasluku 31.12.2022]]</f>
        <v>1506.8164107393193</v>
      </c>
      <c r="L279" s="34">
        <f>$K$11-Tasaus[[#This Row],[Laskennallinen verotulo yhteensä, €/asukas (=tasausraja)]]</f>
        <v>637.14358926068076</v>
      </c>
      <c r="M279" s="369">
        <f>IF(Tasaus[[#This Row],[Erotus = tasausraja - laskennallinen verotulo, €/asukas]]&gt;0,(Tasaus[[#This Row],[Erotus = tasausraja - laskennallinen verotulo, €/asukas]]*$B$7),(Tasaus[[#This Row],[Erotus = tasausraja - laskennallinen verotulo, €/asukas]]*$B$8))</f>
        <v>573.42923033461273</v>
      </c>
      <c r="N279" s="370">
        <f>Tasaus[[#This Row],[Tasaus,  €/asukas]]*Tasaus[[#This Row],[Asukasluku 31.12.2022]]</f>
        <v>2599928.130337134</v>
      </c>
      <c r="P279" s="116"/>
      <c r="Q279" s="117"/>
    </row>
    <row r="280" spans="1:17">
      <c r="A280" s="266">
        <v>889</v>
      </c>
      <c r="B280" s="13" t="s">
        <v>637</v>
      </c>
      <c r="C280" s="267">
        <v>2518</v>
      </c>
      <c r="D280" s="268">
        <v>7.8599999999999994</v>
      </c>
      <c r="E280" s="14">
        <v>2965886.2375873495</v>
      </c>
      <c r="F280" s="14">
        <f>Tasaus[[#This Row],[Kunnallisvero (maksuunpantu), €]]*100/Tasaus[[#This Row],[Tuloveroprosentti 2023]]</f>
        <v>37733921.597803429</v>
      </c>
      <c r="G280" s="269">
        <f>Tasaus[[#This Row],[Verotettava tulo (kunnallisvero), €]]*($D$11/100)</f>
        <v>2780990.0217581131</v>
      </c>
      <c r="H280" s="14">
        <v>626920.01400676521</v>
      </c>
      <c r="I280" s="15">
        <v>521846.99484999996</v>
      </c>
      <c r="J280" s="15">
        <f>SUM(Tasaus[[#This Row],[Laskennallinen kunnallisvero, €]:[Laskennallinen kiinteistövero, €]])</f>
        <v>3929757.0306148781</v>
      </c>
      <c r="K280" s="15">
        <f>Tasaus[[#This Row],[Laskennallinen verotulo yhteensä, €]]/Tasaus[[#This Row],[Asukasluku 31.12.2022]]</f>
        <v>1560.6660169240977</v>
      </c>
      <c r="L280" s="34">
        <f>$K$11-Tasaus[[#This Row],[Laskennallinen verotulo yhteensä, €/asukas (=tasausraja)]]</f>
        <v>583.29398307590236</v>
      </c>
      <c r="M280" s="369">
        <f>IF(Tasaus[[#This Row],[Erotus = tasausraja - laskennallinen verotulo, €/asukas]]&gt;0,(Tasaus[[#This Row],[Erotus = tasausraja - laskennallinen verotulo, €/asukas]]*$B$7),(Tasaus[[#This Row],[Erotus = tasausraja - laskennallinen verotulo, €/asukas]]*$B$8))</f>
        <v>524.96458476831219</v>
      </c>
      <c r="N280" s="370">
        <f>Tasaus[[#This Row],[Tasaus,  €/asukas]]*Tasaus[[#This Row],[Asukasluku 31.12.2022]]</f>
        <v>1321860.8244466102</v>
      </c>
      <c r="P280" s="116"/>
      <c r="Q280" s="117"/>
    </row>
    <row r="281" spans="1:17">
      <c r="A281" s="266">
        <v>890</v>
      </c>
      <c r="B281" s="13" t="s">
        <v>638</v>
      </c>
      <c r="C281" s="267">
        <v>1204</v>
      </c>
      <c r="D281" s="268">
        <v>8.36</v>
      </c>
      <c r="E281" s="14">
        <v>1830205.17575742</v>
      </c>
      <c r="F281" s="14">
        <f>Tasaus[[#This Row],[Kunnallisvero (maksuunpantu), €]]*100/Tasaus[[#This Row],[Tuloveroprosentti 2023]]</f>
        <v>21892406.408581581</v>
      </c>
      <c r="G281" s="269">
        <f>Tasaus[[#This Row],[Verotettava tulo (kunnallisvero), €]]*($D$11/100)</f>
        <v>1613470.3523124629</v>
      </c>
      <c r="H281" s="14">
        <v>108041.16132324921</v>
      </c>
      <c r="I281" s="15">
        <v>329083.88875000004</v>
      </c>
      <c r="J281" s="15">
        <f>SUM(Tasaus[[#This Row],[Laskennallinen kunnallisvero, €]:[Laskennallinen kiinteistövero, €]])</f>
        <v>2050595.4023857121</v>
      </c>
      <c r="K281" s="15">
        <f>Tasaus[[#This Row],[Laskennallinen verotulo yhteensä, €]]/Tasaus[[#This Row],[Asukasluku 31.12.2022]]</f>
        <v>1703.1523275628838</v>
      </c>
      <c r="L281" s="34">
        <f>$K$11-Tasaus[[#This Row],[Laskennallinen verotulo yhteensä, €/asukas (=tasausraja)]]</f>
        <v>440.80767243711625</v>
      </c>
      <c r="M281" s="369">
        <f>IF(Tasaus[[#This Row],[Erotus = tasausraja - laskennallinen verotulo, €/asukas]]&gt;0,(Tasaus[[#This Row],[Erotus = tasausraja - laskennallinen verotulo, €/asukas]]*$B$7),(Tasaus[[#This Row],[Erotus = tasausraja - laskennallinen verotulo, €/asukas]]*$B$8))</f>
        <v>396.72690519340466</v>
      </c>
      <c r="N281" s="370">
        <f>Tasaus[[#This Row],[Tasaus,  €/asukas]]*Tasaus[[#This Row],[Asukasluku 31.12.2022]]</f>
        <v>477659.1938528592</v>
      </c>
      <c r="P281" s="116"/>
      <c r="Q281" s="117"/>
    </row>
    <row r="282" spans="1:17">
      <c r="A282" s="266">
        <v>892</v>
      </c>
      <c r="B282" s="13" t="s">
        <v>639</v>
      </c>
      <c r="C282" s="267">
        <v>3666</v>
      </c>
      <c r="D282" s="268">
        <v>8.8599999999999959</v>
      </c>
      <c r="E282" s="14">
        <v>5103925.7455420494</v>
      </c>
      <c r="F282" s="14">
        <f>Tasaus[[#This Row],[Kunnallisvero (maksuunpantu), €]]*100/Tasaus[[#This Row],[Tuloveroprosentti 2023]]</f>
        <v>57606385.389865145</v>
      </c>
      <c r="G282" s="269">
        <f>Tasaus[[#This Row],[Verotettava tulo (kunnallisvero), €]]*($D$11/100)</f>
        <v>4245590.6032330617</v>
      </c>
      <c r="H282" s="14">
        <v>496045.36669370969</v>
      </c>
      <c r="I282" s="15">
        <v>433867.82490000001</v>
      </c>
      <c r="J282" s="15">
        <f>SUM(Tasaus[[#This Row],[Laskennallinen kunnallisvero, €]:[Laskennallinen kiinteistövero, €]])</f>
        <v>5175503.7948267721</v>
      </c>
      <c r="K282" s="15">
        <f>Tasaus[[#This Row],[Laskennallinen verotulo yhteensä, €]]/Tasaus[[#This Row],[Asukasluku 31.12.2022]]</f>
        <v>1411.7577181742422</v>
      </c>
      <c r="L282" s="34">
        <f>$K$11-Tasaus[[#This Row],[Laskennallinen verotulo yhteensä, €/asukas (=tasausraja)]]</f>
        <v>732.20228182575784</v>
      </c>
      <c r="M282" s="369">
        <f>IF(Tasaus[[#This Row],[Erotus = tasausraja - laskennallinen verotulo, €/asukas]]&gt;0,(Tasaus[[#This Row],[Erotus = tasausraja - laskennallinen verotulo, €/asukas]]*$B$7),(Tasaus[[#This Row],[Erotus = tasausraja - laskennallinen verotulo, €/asukas]]*$B$8))</f>
        <v>658.9820536431821</v>
      </c>
      <c r="N282" s="370">
        <f>Tasaus[[#This Row],[Tasaus,  €/asukas]]*Tasaus[[#This Row],[Asukasluku 31.12.2022]]</f>
        <v>2415828.2086559054</v>
      </c>
      <c r="P282" s="116"/>
      <c r="Q282" s="117"/>
    </row>
    <row r="283" spans="1:17">
      <c r="A283" s="266">
        <v>893</v>
      </c>
      <c r="B283" s="13" t="s">
        <v>640</v>
      </c>
      <c r="C283" s="267">
        <v>7461</v>
      </c>
      <c r="D283" s="268">
        <v>8.61</v>
      </c>
      <c r="E283" s="14">
        <v>11150774.787389088</v>
      </c>
      <c r="F283" s="14">
        <f>Tasaus[[#This Row],[Kunnallisvero (maksuunpantu), €]]*100/Tasaus[[#This Row],[Tuloveroprosentti 2023]]</f>
        <v>129509579.41218454</v>
      </c>
      <c r="G283" s="269">
        <f>Tasaus[[#This Row],[Verotettava tulo (kunnallisvero), €]]*($D$11/100)</f>
        <v>9544856.0026780032</v>
      </c>
      <c r="H283" s="14">
        <v>2102053.7225892888</v>
      </c>
      <c r="I283" s="15">
        <v>1665218.1822499998</v>
      </c>
      <c r="J283" s="15">
        <f>SUM(Tasaus[[#This Row],[Laskennallinen kunnallisvero, €]:[Laskennallinen kiinteistövero, €]])</f>
        <v>13312127.907517292</v>
      </c>
      <c r="K283" s="15">
        <f>Tasaus[[#This Row],[Laskennallinen verotulo yhteensä, €]]/Tasaus[[#This Row],[Asukasluku 31.12.2022]]</f>
        <v>1784.2283752201167</v>
      </c>
      <c r="L283" s="34">
        <f>$K$11-Tasaus[[#This Row],[Laskennallinen verotulo yhteensä, €/asukas (=tasausraja)]]</f>
        <v>359.7316247798833</v>
      </c>
      <c r="M283" s="369">
        <f>IF(Tasaus[[#This Row],[Erotus = tasausraja - laskennallinen verotulo, €/asukas]]&gt;0,(Tasaus[[#This Row],[Erotus = tasausraja - laskennallinen verotulo, €/asukas]]*$B$7),(Tasaus[[#This Row],[Erotus = tasausraja - laskennallinen verotulo, €/asukas]]*$B$8))</f>
        <v>323.75846230189501</v>
      </c>
      <c r="N283" s="370">
        <f>Tasaus[[#This Row],[Tasaus,  €/asukas]]*Tasaus[[#This Row],[Asukasluku 31.12.2022]]</f>
        <v>2415561.8872344387</v>
      </c>
      <c r="P283" s="116"/>
      <c r="Q283" s="117"/>
    </row>
    <row r="284" spans="1:17">
      <c r="A284" s="266">
        <v>895</v>
      </c>
      <c r="B284" s="13" t="s">
        <v>641</v>
      </c>
      <c r="C284" s="267">
        <v>15221</v>
      </c>
      <c r="D284" s="268">
        <v>8.11</v>
      </c>
      <c r="E284" s="14">
        <v>25824933.904596049</v>
      </c>
      <c r="F284" s="14">
        <f>Tasaus[[#This Row],[Kunnallisvero (maksuunpantu), €]]*100/Tasaus[[#This Row],[Tuloveroprosentti 2023]]</f>
        <v>318433217.07270098</v>
      </c>
      <c r="G284" s="269">
        <f>Tasaus[[#This Row],[Verotettava tulo (kunnallisvero), €]]*($D$11/100)</f>
        <v>23468528.098258067</v>
      </c>
      <c r="H284" s="14">
        <v>5249768.6807008376</v>
      </c>
      <c r="I284" s="15">
        <v>3197263.8114500004</v>
      </c>
      <c r="J284" s="15">
        <f>SUM(Tasaus[[#This Row],[Laskennallinen kunnallisvero, €]:[Laskennallinen kiinteistövero, €]])</f>
        <v>31915560.590408906</v>
      </c>
      <c r="K284" s="15">
        <f>Tasaus[[#This Row],[Laskennallinen verotulo yhteensä, €]]/Tasaus[[#This Row],[Asukasluku 31.12.2022]]</f>
        <v>2096.8110236127</v>
      </c>
      <c r="L284" s="34">
        <f>$K$11-Tasaus[[#This Row],[Laskennallinen verotulo yhteensä, €/asukas (=tasausraja)]]</f>
        <v>47.148976387300081</v>
      </c>
      <c r="M284" s="369">
        <f>IF(Tasaus[[#This Row],[Erotus = tasausraja - laskennallinen verotulo, €/asukas]]&gt;0,(Tasaus[[#This Row],[Erotus = tasausraja - laskennallinen verotulo, €/asukas]]*$B$7),(Tasaus[[#This Row],[Erotus = tasausraja - laskennallinen verotulo, €/asukas]]*$B$8))</f>
        <v>42.434078748570073</v>
      </c>
      <c r="N284" s="370">
        <f>Tasaus[[#This Row],[Tasaus,  €/asukas]]*Tasaus[[#This Row],[Asukasluku 31.12.2022]]</f>
        <v>645889.1126319851</v>
      </c>
      <c r="P284" s="116"/>
      <c r="Q284" s="117"/>
    </row>
    <row r="285" spans="1:17">
      <c r="A285" s="266">
        <v>905</v>
      </c>
      <c r="B285" s="13" t="s">
        <v>642</v>
      </c>
      <c r="C285" s="267">
        <v>67686</v>
      </c>
      <c r="D285" s="268">
        <v>8.36</v>
      </c>
      <c r="E285" s="14">
        <v>120035607.9493244</v>
      </c>
      <c r="F285" s="14">
        <f>Tasaus[[#This Row],[Kunnallisvero (maksuunpantu), €]]*100/Tasaus[[#This Row],[Tuloveroprosentti 2023]]</f>
        <v>1435832630.97278</v>
      </c>
      <c r="G285" s="269">
        <f>Tasaus[[#This Row],[Verotettava tulo (kunnallisvero), €]]*($D$11/100)</f>
        <v>105820864.90269391</v>
      </c>
      <c r="H285" s="14">
        <v>20856071.468896385</v>
      </c>
      <c r="I285" s="15">
        <v>12698685.318</v>
      </c>
      <c r="J285" s="15">
        <f>SUM(Tasaus[[#This Row],[Laskennallinen kunnallisvero, €]:[Laskennallinen kiinteistövero, €]])</f>
        <v>139375621.68959031</v>
      </c>
      <c r="K285" s="15">
        <f>Tasaus[[#This Row],[Laskennallinen verotulo yhteensä, €]]/Tasaus[[#This Row],[Asukasluku 31.12.2022]]</f>
        <v>2059.1499230208656</v>
      </c>
      <c r="L285" s="34">
        <f>$K$11-Tasaus[[#This Row],[Laskennallinen verotulo yhteensä, €/asukas (=tasausraja)]]</f>
        <v>84.810076979134465</v>
      </c>
      <c r="M285" s="369">
        <f>IF(Tasaus[[#This Row],[Erotus = tasausraja - laskennallinen verotulo, €/asukas]]&gt;0,(Tasaus[[#This Row],[Erotus = tasausraja - laskennallinen verotulo, €/asukas]]*$B$7),(Tasaus[[#This Row],[Erotus = tasausraja - laskennallinen verotulo, €/asukas]]*$B$8))</f>
        <v>76.329069281221024</v>
      </c>
      <c r="N285" s="370">
        <f>Tasaus[[#This Row],[Tasaus,  €/asukas]]*Tasaus[[#This Row],[Asukasluku 31.12.2022]]</f>
        <v>5166409.3833687259</v>
      </c>
      <c r="P285" s="116"/>
      <c r="Q285" s="117"/>
    </row>
    <row r="286" spans="1:17">
      <c r="A286" s="266">
        <v>908</v>
      </c>
      <c r="B286" s="13" t="s">
        <v>643</v>
      </c>
      <c r="C286" s="267">
        <v>20501</v>
      </c>
      <c r="D286" s="268">
        <v>7.6099999999999994</v>
      </c>
      <c r="E286" s="14">
        <v>32736302.4280922</v>
      </c>
      <c r="F286" s="14">
        <f>Tasaus[[#This Row],[Kunnallisvero (maksuunpantu), €]]*100/Tasaus[[#This Row],[Tuloveroprosentti 2023]]</f>
        <v>430174801.94602102</v>
      </c>
      <c r="G286" s="269">
        <f>Tasaus[[#This Row],[Verotettava tulo (kunnallisvero), €]]*($D$11/100)</f>
        <v>31703882.903421756</v>
      </c>
      <c r="H286" s="14">
        <v>5047632.6142938081</v>
      </c>
      <c r="I286" s="15">
        <v>2636767.3926000004</v>
      </c>
      <c r="J286" s="15">
        <f>SUM(Tasaus[[#This Row],[Laskennallinen kunnallisvero, €]:[Laskennallinen kiinteistövero, €]])</f>
        <v>39388282.910315566</v>
      </c>
      <c r="K286" s="15">
        <f>Tasaus[[#This Row],[Laskennallinen verotulo yhteensä, €]]/Tasaus[[#This Row],[Asukasluku 31.12.2022]]</f>
        <v>1921.2859328967156</v>
      </c>
      <c r="L286" s="34">
        <f>$K$11-Tasaus[[#This Row],[Laskennallinen verotulo yhteensä, €/asukas (=tasausraja)]]</f>
        <v>222.67406710328441</v>
      </c>
      <c r="M286" s="369">
        <f>IF(Tasaus[[#This Row],[Erotus = tasausraja - laskennallinen verotulo, €/asukas]]&gt;0,(Tasaus[[#This Row],[Erotus = tasausraja - laskennallinen verotulo, €/asukas]]*$B$7),(Tasaus[[#This Row],[Erotus = tasausraja - laskennallinen verotulo, €/asukas]]*$B$8))</f>
        <v>200.40666039295598</v>
      </c>
      <c r="N286" s="370">
        <f>Tasaus[[#This Row],[Tasaus,  €/asukas]]*Tasaus[[#This Row],[Asukasluku 31.12.2022]]</f>
        <v>4108536.9447159907</v>
      </c>
      <c r="P286" s="116"/>
      <c r="Q286" s="117"/>
    </row>
    <row r="287" spans="1:17">
      <c r="A287" s="266">
        <v>915</v>
      </c>
      <c r="B287" s="13" t="s">
        <v>644</v>
      </c>
      <c r="C287" s="267">
        <v>19748</v>
      </c>
      <c r="D287" s="268">
        <v>8.36</v>
      </c>
      <c r="E287" s="14">
        <v>31800785.943770826</v>
      </c>
      <c r="F287" s="14">
        <f>Tasaus[[#This Row],[Kunnallisvero (maksuunpantu), €]]*100/Tasaus[[#This Row],[Tuloveroprosentti 2023]]</f>
        <v>380392176.3608951</v>
      </c>
      <c r="G287" s="269">
        <f>Tasaus[[#This Row],[Verotettava tulo (kunnallisvero), €]]*($D$11/100)</f>
        <v>28034903.397797976</v>
      </c>
      <c r="H287" s="14">
        <v>4046823.7648659726</v>
      </c>
      <c r="I287" s="15">
        <v>3225445.6544999997</v>
      </c>
      <c r="J287" s="15">
        <f>SUM(Tasaus[[#This Row],[Laskennallinen kunnallisvero, €]:[Laskennallinen kiinteistövero, €]])</f>
        <v>35307172.817163944</v>
      </c>
      <c r="K287" s="15">
        <f>Tasaus[[#This Row],[Laskennallinen verotulo yhteensä, €]]/Tasaus[[#This Row],[Asukasluku 31.12.2022]]</f>
        <v>1787.8860045150873</v>
      </c>
      <c r="L287" s="34">
        <f>$K$11-Tasaus[[#This Row],[Laskennallinen verotulo yhteensä, €/asukas (=tasausraja)]]</f>
        <v>356.07399548491276</v>
      </c>
      <c r="M287" s="369">
        <f>IF(Tasaus[[#This Row],[Erotus = tasausraja - laskennallinen verotulo, €/asukas]]&gt;0,(Tasaus[[#This Row],[Erotus = tasausraja - laskennallinen verotulo, €/asukas]]*$B$7),(Tasaus[[#This Row],[Erotus = tasausraja - laskennallinen verotulo, €/asukas]]*$B$8))</f>
        <v>320.46659593642147</v>
      </c>
      <c r="N287" s="370">
        <f>Tasaus[[#This Row],[Tasaus,  €/asukas]]*Tasaus[[#This Row],[Asukasluku 31.12.2022]]</f>
        <v>6328574.3365524514</v>
      </c>
      <c r="P287" s="116"/>
      <c r="Q287" s="117"/>
    </row>
    <row r="288" spans="1:17">
      <c r="A288" s="266">
        <v>918</v>
      </c>
      <c r="B288" s="13" t="s">
        <v>645</v>
      </c>
      <c r="C288" s="267">
        <v>2308</v>
      </c>
      <c r="D288" s="268">
        <v>9.61</v>
      </c>
      <c r="E288" s="14">
        <v>3790300.5421544197</v>
      </c>
      <c r="F288" s="14">
        <f>Tasaus[[#This Row],[Kunnallisvero (maksuunpantu), €]]*100/Tasaus[[#This Row],[Tuloveroprosentti 2023]]</f>
        <v>39441212.717527777</v>
      </c>
      <c r="G288" s="269">
        <f>Tasaus[[#This Row],[Verotettava tulo (kunnallisvero), €]]*($D$11/100)</f>
        <v>2906817.3772817976</v>
      </c>
      <c r="H288" s="14">
        <v>363396.5930017737</v>
      </c>
      <c r="I288" s="15">
        <v>403088.80505000002</v>
      </c>
      <c r="J288" s="15">
        <f>SUM(Tasaus[[#This Row],[Laskennallinen kunnallisvero, €]:[Laskennallinen kiinteistövero, €]])</f>
        <v>3673302.7753335712</v>
      </c>
      <c r="K288" s="15">
        <f>Tasaus[[#This Row],[Laskennallinen verotulo yhteensä, €]]/Tasaus[[#This Row],[Asukasluku 31.12.2022]]</f>
        <v>1591.5523290006809</v>
      </c>
      <c r="L288" s="34">
        <f>$K$11-Tasaus[[#This Row],[Laskennallinen verotulo yhteensä, €/asukas (=tasausraja)]]</f>
        <v>552.40767099931918</v>
      </c>
      <c r="M288" s="369">
        <f>IF(Tasaus[[#This Row],[Erotus = tasausraja - laskennallinen verotulo, €/asukas]]&gt;0,(Tasaus[[#This Row],[Erotus = tasausraja - laskennallinen verotulo, €/asukas]]*$B$7),(Tasaus[[#This Row],[Erotus = tasausraja - laskennallinen verotulo, €/asukas]]*$B$8))</f>
        <v>497.16690389938725</v>
      </c>
      <c r="N288" s="370">
        <f>Tasaus[[#This Row],[Tasaus,  €/asukas]]*Tasaus[[#This Row],[Asukasluku 31.12.2022]]</f>
        <v>1147461.2141997858</v>
      </c>
      <c r="P288" s="116"/>
      <c r="Q288" s="117"/>
    </row>
    <row r="289" spans="1:17">
      <c r="A289" s="266">
        <v>921</v>
      </c>
      <c r="B289" s="13" t="s">
        <v>646</v>
      </c>
      <c r="C289" s="267">
        <v>1885</v>
      </c>
      <c r="D289" s="268">
        <v>9.360000000000003</v>
      </c>
      <c r="E289" s="14">
        <v>2433499.0445208098</v>
      </c>
      <c r="F289" s="14">
        <f>Tasaus[[#This Row],[Kunnallisvero (maksuunpantu), €]]*100/Tasaus[[#This Row],[Tuloveroprosentti 2023]]</f>
        <v>25998921.415820606</v>
      </c>
      <c r="G289" s="269">
        <f>Tasaus[[#This Row],[Verotettava tulo (kunnallisvero), €]]*($D$11/100)</f>
        <v>1916120.508345979</v>
      </c>
      <c r="H289" s="14">
        <v>446434.92856445047</v>
      </c>
      <c r="I289" s="15">
        <v>321403.66930000001</v>
      </c>
      <c r="J289" s="15">
        <f>SUM(Tasaus[[#This Row],[Laskennallinen kunnallisvero, €]:[Laskennallinen kiinteistövero, €]])</f>
        <v>2683959.1062104297</v>
      </c>
      <c r="K289" s="15">
        <f>Tasaus[[#This Row],[Laskennallinen verotulo yhteensä, €]]/Tasaus[[#This Row],[Asukasluku 31.12.2022]]</f>
        <v>1423.8509847270184</v>
      </c>
      <c r="L289" s="34">
        <f>$K$11-Tasaus[[#This Row],[Laskennallinen verotulo yhteensä, €/asukas (=tasausraja)]]</f>
        <v>720.10901527298165</v>
      </c>
      <c r="M289" s="369">
        <f>IF(Tasaus[[#This Row],[Erotus = tasausraja - laskennallinen verotulo, €/asukas]]&gt;0,(Tasaus[[#This Row],[Erotus = tasausraja - laskennallinen verotulo, €/asukas]]*$B$7),(Tasaus[[#This Row],[Erotus = tasausraja - laskennallinen verotulo, €/asukas]]*$B$8))</f>
        <v>648.09811374568346</v>
      </c>
      <c r="N289" s="370">
        <f>Tasaus[[#This Row],[Tasaus,  €/asukas]]*Tasaus[[#This Row],[Asukasluku 31.12.2022]]</f>
        <v>1221664.9444106133</v>
      </c>
      <c r="P289" s="116"/>
      <c r="Q289" s="117"/>
    </row>
    <row r="290" spans="1:17">
      <c r="A290" s="266">
        <v>922</v>
      </c>
      <c r="B290" s="13" t="s">
        <v>647</v>
      </c>
      <c r="C290" s="267">
        <v>4327</v>
      </c>
      <c r="D290" s="268">
        <v>9.36</v>
      </c>
      <c r="E290" s="14">
        <v>8700836.233343659</v>
      </c>
      <c r="F290" s="14">
        <f>Tasaus[[#This Row],[Kunnallisvero (maksuunpantu), €]]*100/Tasaus[[#This Row],[Tuloveroprosentti 2023]]</f>
        <v>92957652.06563738</v>
      </c>
      <c r="G290" s="269">
        <f>Tasaus[[#This Row],[Verotettava tulo (kunnallisvero), €]]*($D$11/100)</f>
        <v>6850978.9572374765</v>
      </c>
      <c r="H290" s="14">
        <v>498113.45954326942</v>
      </c>
      <c r="I290" s="15">
        <v>665045.19364999991</v>
      </c>
      <c r="J290" s="15">
        <f>SUM(Tasaus[[#This Row],[Laskennallinen kunnallisvero, €]:[Laskennallinen kiinteistövero, €]])</f>
        <v>8014137.6104307454</v>
      </c>
      <c r="K290" s="15">
        <f>Tasaus[[#This Row],[Laskennallinen verotulo yhteensä, €]]/Tasaus[[#This Row],[Asukasluku 31.12.2022]]</f>
        <v>1852.1233211071749</v>
      </c>
      <c r="L290" s="34">
        <f>$K$11-Tasaus[[#This Row],[Laskennallinen verotulo yhteensä, €/asukas (=tasausraja)]]</f>
        <v>291.83667889282515</v>
      </c>
      <c r="M290" s="369">
        <f>IF(Tasaus[[#This Row],[Erotus = tasausraja - laskennallinen verotulo, €/asukas]]&gt;0,(Tasaus[[#This Row],[Erotus = tasausraja - laskennallinen verotulo, €/asukas]]*$B$7),(Tasaus[[#This Row],[Erotus = tasausraja - laskennallinen verotulo, €/asukas]]*$B$8))</f>
        <v>262.65301100354264</v>
      </c>
      <c r="N290" s="370">
        <f>Tasaus[[#This Row],[Tasaus,  €/asukas]]*Tasaus[[#This Row],[Asukasluku 31.12.2022]]</f>
        <v>1136499.578612329</v>
      </c>
      <c r="P290" s="116"/>
      <c r="Q290" s="117"/>
    </row>
    <row r="291" spans="1:17">
      <c r="A291" s="266">
        <v>924</v>
      </c>
      <c r="B291" s="13" t="s">
        <v>648</v>
      </c>
      <c r="C291" s="267">
        <v>2973</v>
      </c>
      <c r="D291" s="268">
        <v>9.86</v>
      </c>
      <c r="E291" s="14">
        <v>4572170.8413033793</v>
      </c>
      <c r="F291" s="14">
        <f>Tasaus[[#This Row],[Kunnallisvero (maksuunpantu), €]]*100/Tasaus[[#This Row],[Tuloveroprosentti 2023]]</f>
        <v>46370901.027417645</v>
      </c>
      <c r="G291" s="269">
        <f>Tasaus[[#This Row],[Verotettava tulo (kunnallisvero), €]]*($D$11/100)</f>
        <v>3417535.405720681</v>
      </c>
      <c r="H291" s="14">
        <v>582206.31221971312</v>
      </c>
      <c r="I291" s="15">
        <v>420701.06024999998</v>
      </c>
      <c r="J291" s="15">
        <f>SUM(Tasaus[[#This Row],[Laskennallinen kunnallisvero, €]:[Laskennallinen kiinteistövero, €]])</f>
        <v>4420442.7781903939</v>
      </c>
      <c r="K291" s="15">
        <f>Tasaus[[#This Row],[Laskennallinen verotulo yhteensä, €]]/Tasaus[[#This Row],[Asukasluku 31.12.2022]]</f>
        <v>1486.8626902759481</v>
      </c>
      <c r="L291" s="34">
        <f>$K$11-Tasaus[[#This Row],[Laskennallinen verotulo yhteensä, €/asukas (=tasausraja)]]</f>
        <v>657.09730972405191</v>
      </c>
      <c r="M291" s="369">
        <f>IF(Tasaus[[#This Row],[Erotus = tasausraja - laskennallinen verotulo, €/asukas]]&gt;0,(Tasaus[[#This Row],[Erotus = tasausraja - laskennallinen verotulo, €/asukas]]*$B$7),(Tasaus[[#This Row],[Erotus = tasausraja - laskennallinen verotulo, €/asukas]]*$B$8))</f>
        <v>591.38757875164674</v>
      </c>
      <c r="N291" s="370">
        <f>Tasaus[[#This Row],[Tasaus,  €/asukas]]*Tasaus[[#This Row],[Asukasluku 31.12.2022]]</f>
        <v>1758195.2716286457</v>
      </c>
      <c r="P291" s="116"/>
      <c r="Q291" s="117"/>
    </row>
    <row r="292" spans="1:17">
      <c r="A292" s="266">
        <v>925</v>
      </c>
      <c r="B292" s="13" t="s">
        <v>649</v>
      </c>
      <c r="C292" s="267">
        <v>3432</v>
      </c>
      <c r="D292" s="268">
        <v>8.360000000000003</v>
      </c>
      <c r="E292" s="14">
        <v>4727713.8929594001</v>
      </c>
      <c r="F292" s="14">
        <f>Tasaus[[#This Row],[Kunnallisvero (maksuunpantu), €]]*100/Tasaus[[#This Row],[Tuloveroprosentti 2023]]</f>
        <v>56551601.59042342</v>
      </c>
      <c r="G292" s="269">
        <f>Tasaus[[#This Row],[Verotettava tulo (kunnallisvero), €]]*($D$11/100)</f>
        <v>4167853.037214207</v>
      </c>
      <c r="H292" s="14">
        <v>2338196.0294987764</v>
      </c>
      <c r="I292" s="15">
        <v>700495.37644999998</v>
      </c>
      <c r="J292" s="15">
        <f>SUM(Tasaus[[#This Row],[Laskennallinen kunnallisvero, €]:[Laskennallinen kiinteistövero, €]])</f>
        <v>7206544.4431629833</v>
      </c>
      <c r="K292" s="15">
        <f>Tasaus[[#This Row],[Laskennallinen verotulo yhteensä, €]]/Tasaus[[#This Row],[Asukasluku 31.12.2022]]</f>
        <v>2099.8089869356013</v>
      </c>
      <c r="L292" s="34">
        <f>$K$11-Tasaus[[#This Row],[Laskennallinen verotulo yhteensä, €/asukas (=tasausraja)]]</f>
        <v>44.15101306439874</v>
      </c>
      <c r="M292" s="369">
        <f>IF(Tasaus[[#This Row],[Erotus = tasausraja - laskennallinen verotulo, €/asukas]]&gt;0,(Tasaus[[#This Row],[Erotus = tasausraja - laskennallinen verotulo, €/asukas]]*$B$7),(Tasaus[[#This Row],[Erotus = tasausraja - laskennallinen verotulo, €/asukas]]*$B$8))</f>
        <v>39.735911757958867</v>
      </c>
      <c r="N292" s="370">
        <f>Tasaus[[#This Row],[Tasaus,  €/asukas]]*Tasaus[[#This Row],[Asukasluku 31.12.2022]]</f>
        <v>136373.64915331482</v>
      </c>
      <c r="P292" s="116"/>
      <c r="Q292" s="117"/>
    </row>
    <row r="293" spans="1:17">
      <c r="A293" s="266">
        <v>927</v>
      </c>
      <c r="B293" s="13" t="s">
        <v>650</v>
      </c>
      <c r="C293" s="267">
        <v>29234</v>
      </c>
      <c r="D293" s="268">
        <v>7.8599999999999994</v>
      </c>
      <c r="E293" s="14">
        <v>54938672.983870201</v>
      </c>
      <c r="F293" s="14">
        <f>Tasaus[[#This Row],[Kunnallisvero (maksuunpantu), €]]*100/Tasaus[[#This Row],[Tuloveroprosentti 2023]]</f>
        <v>698965305.1382978</v>
      </c>
      <c r="G293" s="269">
        <f>Tasaus[[#This Row],[Verotettava tulo (kunnallisvero), €]]*($D$11/100)</f>
        <v>51513742.988692559</v>
      </c>
      <c r="H293" s="14">
        <v>3582559.6038762601</v>
      </c>
      <c r="I293" s="15">
        <v>4598096.0024000006</v>
      </c>
      <c r="J293" s="15">
        <f>SUM(Tasaus[[#This Row],[Laskennallinen kunnallisvero, €]:[Laskennallinen kiinteistövero, €]])</f>
        <v>59694398.594968826</v>
      </c>
      <c r="K293" s="15">
        <f>Tasaus[[#This Row],[Laskennallinen verotulo yhteensä, €]]/Tasaus[[#This Row],[Asukasluku 31.12.2022]]</f>
        <v>2041.9511047057817</v>
      </c>
      <c r="L293" s="34">
        <f>$K$11-Tasaus[[#This Row],[Laskennallinen verotulo yhteensä, €/asukas (=tasausraja)]]</f>
        <v>102.00889529421829</v>
      </c>
      <c r="M293" s="369">
        <f>IF(Tasaus[[#This Row],[Erotus = tasausraja - laskennallinen verotulo, €/asukas]]&gt;0,(Tasaus[[#This Row],[Erotus = tasausraja - laskennallinen verotulo, €/asukas]]*$B$7),(Tasaus[[#This Row],[Erotus = tasausraja - laskennallinen verotulo, €/asukas]]*$B$8))</f>
        <v>91.808005764796462</v>
      </c>
      <c r="N293" s="370">
        <f>Tasaus[[#This Row],[Tasaus,  €/asukas]]*Tasaus[[#This Row],[Asukasluku 31.12.2022]]</f>
        <v>2683915.2405280597</v>
      </c>
      <c r="P293" s="116"/>
      <c r="Q293" s="117"/>
    </row>
    <row r="294" spans="1:17">
      <c r="A294" s="266">
        <v>931</v>
      </c>
      <c r="B294" s="13" t="s">
        <v>651</v>
      </c>
      <c r="C294" s="267">
        <v>5874</v>
      </c>
      <c r="D294" s="268">
        <v>8.36</v>
      </c>
      <c r="E294" s="14">
        <v>7795398.6318338206</v>
      </c>
      <c r="F294" s="14">
        <f>Tasaus[[#This Row],[Kunnallisvero (maksuunpantu), €]]*100/Tasaus[[#This Row],[Tuloveroprosentti 2023]]</f>
        <v>93246395.117629439</v>
      </c>
      <c r="G294" s="269">
        <f>Tasaus[[#This Row],[Verotettava tulo (kunnallisvero), €]]*($D$11/100)</f>
        <v>6872259.3201692915</v>
      </c>
      <c r="H294" s="14">
        <v>2156182.0971041834</v>
      </c>
      <c r="I294" s="15">
        <v>1149576.9538</v>
      </c>
      <c r="J294" s="15">
        <f>SUM(Tasaus[[#This Row],[Laskennallinen kunnallisvero, €]:[Laskennallinen kiinteistövero, €]])</f>
        <v>10178018.371073475</v>
      </c>
      <c r="K294" s="15">
        <f>Tasaus[[#This Row],[Laskennallinen verotulo yhteensä, €]]/Tasaus[[#This Row],[Asukasluku 31.12.2022]]</f>
        <v>1732.723590581116</v>
      </c>
      <c r="L294" s="34">
        <f>$K$11-Tasaus[[#This Row],[Laskennallinen verotulo yhteensä, €/asukas (=tasausraja)]]</f>
        <v>411.23640941888402</v>
      </c>
      <c r="M294" s="369">
        <f>IF(Tasaus[[#This Row],[Erotus = tasausraja - laskennallinen verotulo, €/asukas]]&gt;0,(Tasaus[[#This Row],[Erotus = tasausraja - laskennallinen verotulo, €/asukas]]*$B$7),(Tasaus[[#This Row],[Erotus = tasausraja - laskennallinen verotulo, €/asukas]]*$B$8))</f>
        <v>370.11276847699565</v>
      </c>
      <c r="N294" s="370">
        <f>Tasaus[[#This Row],[Tasaus,  €/asukas]]*Tasaus[[#This Row],[Asukasluku 31.12.2022]]</f>
        <v>2174042.4020338724</v>
      </c>
      <c r="P294" s="116"/>
      <c r="Q294" s="117"/>
    </row>
    <row r="295" spans="1:17">
      <c r="A295" s="266">
        <v>934</v>
      </c>
      <c r="B295" s="13" t="s">
        <v>652</v>
      </c>
      <c r="C295" s="267">
        <v>2666</v>
      </c>
      <c r="D295" s="268">
        <v>9.610000000000003</v>
      </c>
      <c r="E295" s="14">
        <v>4389800.6779505899</v>
      </c>
      <c r="F295" s="14">
        <f>Tasaus[[#This Row],[Kunnallisvero (maksuunpantu), €]]*100/Tasaus[[#This Row],[Tuloveroprosentti 2023]]</f>
        <v>45679507.574928075</v>
      </c>
      <c r="G295" s="269">
        <f>Tasaus[[#This Row],[Verotettava tulo (kunnallisvero), €]]*($D$11/100)</f>
        <v>3366579.7082721996</v>
      </c>
      <c r="H295" s="14">
        <v>563741.01307087974</v>
      </c>
      <c r="I295" s="15">
        <v>401965.29514999996</v>
      </c>
      <c r="J295" s="15">
        <f>SUM(Tasaus[[#This Row],[Laskennallinen kunnallisvero, €]:[Laskennallinen kiinteistövero, €]])</f>
        <v>4332286.0164930793</v>
      </c>
      <c r="K295" s="15">
        <f>Tasaus[[#This Row],[Laskennallinen verotulo yhteensä, €]]/Tasaus[[#This Row],[Asukasluku 31.12.2022]]</f>
        <v>1625.0135095622952</v>
      </c>
      <c r="L295" s="34">
        <f>$K$11-Tasaus[[#This Row],[Laskennallinen verotulo yhteensä, €/asukas (=tasausraja)]]</f>
        <v>518.94649043770482</v>
      </c>
      <c r="M295" s="369">
        <f>IF(Tasaus[[#This Row],[Erotus = tasausraja - laskennallinen verotulo, €/asukas]]&gt;0,(Tasaus[[#This Row],[Erotus = tasausraja - laskennallinen verotulo, €/asukas]]*$B$7),(Tasaus[[#This Row],[Erotus = tasausraja - laskennallinen verotulo, €/asukas]]*$B$8))</f>
        <v>467.05184139393435</v>
      </c>
      <c r="N295" s="370">
        <f>Tasaus[[#This Row],[Tasaus,  €/asukas]]*Tasaus[[#This Row],[Asukasluku 31.12.2022]]</f>
        <v>1245160.2091562289</v>
      </c>
      <c r="P295" s="116"/>
      <c r="Q295" s="117"/>
    </row>
    <row r="296" spans="1:17">
      <c r="A296" s="266">
        <v>935</v>
      </c>
      <c r="B296" s="13" t="s">
        <v>653</v>
      </c>
      <c r="C296" s="267">
        <v>2997</v>
      </c>
      <c r="D296" s="268">
        <v>7.8599999999999994</v>
      </c>
      <c r="E296" s="14">
        <v>4323771.6589258797</v>
      </c>
      <c r="F296" s="14">
        <f>Tasaus[[#This Row],[Kunnallisvero (maksuunpantu), €]]*100/Tasaus[[#This Row],[Tuloveroprosentti 2023]]</f>
        <v>55009817.543586262</v>
      </c>
      <c r="G296" s="269">
        <f>Tasaus[[#This Row],[Verotettava tulo (kunnallisvero), €]]*($D$11/100)</f>
        <v>4054223.5529623083</v>
      </c>
      <c r="H296" s="14">
        <v>593218.0675297908</v>
      </c>
      <c r="I296" s="15">
        <v>783153.42879999999</v>
      </c>
      <c r="J296" s="15">
        <f>SUM(Tasaus[[#This Row],[Laskennallinen kunnallisvero, €]:[Laskennallinen kiinteistövero, €]])</f>
        <v>5430595.0492920987</v>
      </c>
      <c r="K296" s="15">
        <f>Tasaus[[#This Row],[Laskennallinen verotulo yhteensä, €]]/Tasaus[[#This Row],[Asukasluku 31.12.2022]]</f>
        <v>1812.0103601241572</v>
      </c>
      <c r="L296" s="34">
        <f>$K$11-Tasaus[[#This Row],[Laskennallinen verotulo yhteensä, €/asukas (=tasausraja)]]</f>
        <v>331.94963987584288</v>
      </c>
      <c r="M296" s="369">
        <f>IF(Tasaus[[#This Row],[Erotus = tasausraja - laskennallinen verotulo, €/asukas]]&gt;0,(Tasaus[[#This Row],[Erotus = tasausraja - laskennallinen verotulo, €/asukas]]*$B$7),(Tasaus[[#This Row],[Erotus = tasausraja - laskennallinen verotulo, €/asukas]]*$B$8))</f>
        <v>298.75467588825859</v>
      </c>
      <c r="N296" s="370">
        <f>Tasaus[[#This Row],[Tasaus,  €/asukas]]*Tasaus[[#This Row],[Asukasluku 31.12.2022]]</f>
        <v>895367.76363711094</v>
      </c>
      <c r="P296" s="116"/>
      <c r="Q296" s="117"/>
    </row>
    <row r="297" spans="1:17">
      <c r="A297" s="266">
        <v>936</v>
      </c>
      <c r="B297" s="13" t="s">
        <v>654</v>
      </c>
      <c r="C297" s="267">
        <v>6312</v>
      </c>
      <c r="D297" s="268">
        <v>8.61</v>
      </c>
      <c r="E297" s="14">
        <v>8953571.1105408389</v>
      </c>
      <c r="F297" s="14">
        <f>Tasaus[[#This Row],[Kunnallisvero (maksuunpantu), €]]*100/Tasaus[[#This Row],[Tuloveroprosentti 2023]]</f>
        <v>103990372.9447252</v>
      </c>
      <c r="G297" s="269">
        <f>Tasaus[[#This Row],[Verotettava tulo (kunnallisvero), €]]*($D$11/100)</f>
        <v>7664090.4860262489</v>
      </c>
      <c r="H297" s="14">
        <v>2120075.121302159</v>
      </c>
      <c r="I297" s="15">
        <v>1261341.2280999999</v>
      </c>
      <c r="J297" s="15">
        <f>SUM(Tasaus[[#This Row],[Laskennallinen kunnallisvero, €]:[Laskennallinen kiinteistövero, €]])</f>
        <v>11045506.835428407</v>
      </c>
      <c r="K297" s="15">
        <f>Tasaus[[#This Row],[Laskennallinen verotulo yhteensä, €]]/Tasaus[[#This Row],[Asukasluku 31.12.2022]]</f>
        <v>1749.9218687307364</v>
      </c>
      <c r="L297" s="34">
        <f>$K$11-Tasaus[[#This Row],[Laskennallinen verotulo yhteensä, €/asukas (=tasausraja)]]</f>
        <v>394.03813126926366</v>
      </c>
      <c r="M297" s="369">
        <f>IF(Tasaus[[#This Row],[Erotus = tasausraja - laskennallinen verotulo, €/asukas]]&gt;0,(Tasaus[[#This Row],[Erotus = tasausraja - laskennallinen verotulo, €/asukas]]*$B$7),(Tasaus[[#This Row],[Erotus = tasausraja - laskennallinen verotulo, €/asukas]]*$B$8))</f>
        <v>354.63431814233729</v>
      </c>
      <c r="N297" s="370">
        <f>Tasaus[[#This Row],[Tasaus,  €/asukas]]*Tasaus[[#This Row],[Asukasluku 31.12.2022]]</f>
        <v>2238451.8161144331</v>
      </c>
      <c r="P297" s="116"/>
      <c r="Q297" s="117"/>
    </row>
    <row r="298" spans="1:17">
      <c r="A298" s="266">
        <v>946</v>
      </c>
      <c r="B298" s="13" t="s">
        <v>298</v>
      </c>
      <c r="C298" s="267">
        <v>6277</v>
      </c>
      <c r="D298" s="268">
        <v>8.86</v>
      </c>
      <c r="E298" s="14">
        <v>9919256.80464915</v>
      </c>
      <c r="F298" s="14">
        <f>Tasaus[[#This Row],[Kunnallisvero (maksuunpantu), €]]*100/Tasaus[[#This Row],[Tuloveroprosentti 2023]]</f>
        <v>111955494.40913263</v>
      </c>
      <c r="G298" s="269">
        <f>Tasaus[[#This Row],[Verotettava tulo (kunnallisvero), €]]*($D$11/100)</f>
        <v>8251119.9379530763</v>
      </c>
      <c r="H298" s="14">
        <v>1490210.6476524414</v>
      </c>
      <c r="I298" s="15">
        <v>1194375.1059999999</v>
      </c>
      <c r="J298" s="15">
        <f>SUM(Tasaus[[#This Row],[Laskennallinen kunnallisvero, €]:[Laskennallinen kiinteistövero, €]])</f>
        <v>10935705.691605518</v>
      </c>
      <c r="K298" s="15">
        <f>Tasaus[[#This Row],[Laskennallinen verotulo yhteensä, €]]/Tasaus[[#This Row],[Asukasluku 31.12.2022]]</f>
        <v>1742.1866642672483</v>
      </c>
      <c r="L298" s="34">
        <f>$K$11-Tasaus[[#This Row],[Laskennallinen verotulo yhteensä, €/asukas (=tasausraja)]]</f>
        <v>401.77333573275178</v>
      </c>
      <c r="M298" s="369">
        <f>IF(Tasaus[[#This Row],[Erotus = tasausraja - laskennallinen verotulo, €/asukas]]&gt;0,(Tasaus[[#This Row],[Erotus = tasausraja - laskennallinen verotulo, €/asukas]]*$B$7),(Tasaus[[#This Row],[Erotus = tasausraja - laskennallinen verotulo, €/asukas]]*$B$8))</f>
        <v>361.5960021594766</v>
      </c>
      <c r="N298" s="370">
        <f>Tasaus[[#This Row],[Tasaus,  €/asukas]]*Tasaus[[#This Row],[Asukasluku 31.12.2022]]</f>
        <v>2269738.1055550347</v>
      </c>
      <c r="P298" s="116"/>
      <c r="Q298" s="117"/>
    </row>
    <row r="299" spans="1:17">
      <c r="A299" s="266">
        <v>976</v>
      </c>
      <c r="B299" s="13" t="s">
        <v>655</v>
      </c>
      <c r="C299" s="267">
        <v>3731</v>
      </c>
      <c r="D299" s="268">
        <v>7.3599999999999994</v>
      </c>
      <c r="E299" s="14">
        <v>4517974.6560573801</v>
      </c>
      <c r="F299" s="14">
        <f>Tasaus[[#This Row],[Kunnallisvero (maksuunpantu), €]]*100/Tasaus[[#This Row],[Tuloveroprosentti 2023]]</f>
        <v>61385525.218170933</v>
      </c>
      <c r="G299" s="269">
        <f>Tasaus[[#This Row],[Verotettava tulo (kunnallisvero), €]]*($D$11/100)</f>
        <v>4524113.2085791985</v>
      </c>
      <c r="H299" s="14">
        <v>581358.34620203206</v>
      </c>
      <c r="I299" s="15">
        <v>601367.39100000006</v>
      </c>
      <c r="J299" s="15">
        <f>SUM(Tasaus[[#This Row],[Laskennallinen kunnallisvero, €]:[Laskennallinen kiinteistövero, €]])</f>
        <v>5706838.94578123</v>
      </c>
      <c r="K299" s="15">
        <f>Tasaus[[#This Row],[Laskennallinen verotulo yhteensä, €]]/Tasaus[[#This Row],[Asukasluku 31.12.2022]]</f>
        <v>1529.5735582367274</v>
      </c>
      <c r="L299" s="34">
        <f>$K$11-Tasaus[[#This Row],[Laskennallinen verotulo yhteensä, €/asukas (=tasausraja)]]</f>
        <v>614.38644176327261</v>
      </c>
      <c r="M299" s="369">
        <f>IF(Tasaus[[#This Row],[Erotus = tasausraja - laskennallinen verotulo, €/asukas]]&gt;0,(Tasaus[[#This Row],[Erotus = tasausraja - laskennallinen verotulo, €/asukas]]*$B$7),(Tasaus[[#This Row],[Erotus = tasausraja - laskennallinen verotulo, €/asukas]]*$B$8))</f>
        <v>552.9477975869454</v>
      </c>
      <c r="N299" s="370">
        <f>Tasaus[[#This Row],[Tasaus,  €/asukas]]*Tasaus[[#This Row],[Asukasluku 31.12.2022]]</f>
        <v>2063048.2327968932</v>
      </c>
      <c r="P299" s="116"/>
      <c r="Q299" s="117"/>
    </row>
    <row r="300" spans="1:17">
      <c r="A300" s="266">
        <v>977</v>
      </c>
      <c r="B300" s="13" t="s">
        <v>656</v>
      </c>
      <c r="C300" s="267">
        <v>15410</v>
      </c>
      <c r="D300" s="268">
        <v>10.36</v>
      </c>
      <c r="E300" s="14">
        <v>28678182.403847128</v>
      </c>
      <c r="F300" s="14">
        <f>Tasaus[[#This Row],[Kunnallisvero (maksuunpantu), €]]*100/Tasaus[[#This Row],[Tuloveroprosentti 2023]]</f>
        <v>276816432.46956688</v>
      </c>
      <c r="G300" s="269">
        <f>Tasaus[[#This Row],[Verotettava tulo (kunnallisvero), €]]*($D$11/100)</f>
        <v>20401371.073007084</v>
      </c>
      <c r="H300" s="14">
        <v>3578539.2343274457</v>
      </c>
      <c r="I300" s="15">
        <v>2176674.7271999996</v>
      </c>
      <c r="J300" s="15">
        <f>SUM(Tasaus[[#This Row],[Laskennallinen kunnallisvero, €]:[Laskennallinen kiinteistövero, €]])</f>
        <v>26156585.034534529</v>
      </c>
      <c r="K300" s="15">
        <f>Tasaus[[#This Row],[Laskennallinen verotulo yhteensä, €]]/Tasaus[[#This Row],[Asukasluku 31.12.2022]]</f>
        <v>1697.3773546096384</v>
      </c>
      <c r="L300" s="34">
        <f>$K$11-Tasaus[[#This Row],[Laskennallinen verotulo yhteensä, €/asukas (=tasausraja)]]</f>
        <v>446.58264539036168</v>
      </c>
      <c r="M300" s="369">
        <f>IF(Tasaus[[#This Row],[Erotus = tasausraja - laskennallinen verotulo, €/asukas]]&gt;0,(Tasaus[[#This Row],[Erotus = tasausraja - laskennallinen verotulo, €/asukas]]*$B$7),(Tasaus[[#This Row],[Erotus = tasausraja - laskennallinen verotulo, €/asukas]]*$B$8))</f>
        <v>401.92438085132551</v>
      </c>
      <c r="N300" s="370">
        <f>Tasaus[[#This Row],[Tasaus,  €/asukas]]*Tasaus[[#This Row],[Asukasluku 31.12.2022]]</f>
        <v>6193654.7089189263</v>
      </c>
      <c r="P300" s="116"/>
      <c r="Q300" s="117"/>
    </row>
    <row r="301" spans="1:17">
      <c r="A301" s="266">
        <v>980</v>
      </c>
      <c r="B301" s="13" t="s">
        <v>657</v>
      </c>
      <c r="C301" s="267">
        <v>33648</v>
      </c>
      <c r="D301" s="268">
        <v>7.8599999999999994</v>
      </c>
      <c r="E301" s="14">
        <v>57339022.028415538</v>
      </c>
      <c r="F301" s="14">
        <f>Tasaus[[#This Row],[Kunnallisvero (maksuunpantu), €]]*100/Tasaus[[#This Row],[Tuloveroprosentti 2023]]</f>
        <v>729504097.05363286</v>
      </c>
      <c r="G301" s="269">
        <f>Tasaus[[#This Row],[Verotettava tulo (kunnallisvero), €]]*($D$11/100)</f>
        <v>53764451.952852756</v>
      </c>
      <c r="H301" s="14">
        <v>7720204.2545324294</v>
      </c>
      <c r="I301" s="15">
        <v>4882121.7058500005</v>
      </c>
      <c r="J301" s="15">
        <f>SUM(Tasaus[[#This Row],[Laskennallinen kunnallisvero, €]:[Laskennallinen kiinteistövero, €]])</f>
        <v>66366777.91323518</v>
      </c>
      <c r="K301" s="15">
        <f>Tasaus[[#This Row],[Laskennallinen verotulo yhteensä, €]]/Tasaus[[#This Row],[Asukasluku 31.12.2022]]</f>
        <v>1972.3840321337132</v>
      </c>
      <c r="L301" s="34">
        <f>$K$11-Tasaus[[#This Row],[Laskennallinen verotulo yhteensä, €/asukas (=tasausraja)]]</f>
        <v>171.57596786628687</v>
      </c>
      <c r="M301" s="369">
        <f>IF(Tasaus[[#This Row],[Erotus = tasausraja - laskennallinen verotulo, €/asukas]]&gt;0,(Tasaus[[#This Row],[Erotus = tasausraja - laskennallinen verotulo, €/asukas]]*$B$7),(Tasaus[[#This Row],[Erotus = tasausraja - laskennallinen verotulo, €/asukas]]*$B$8))</f>
        <v>154.41837107965819</v>
      </c>
      <c r="N301" s="370">
        <f>Tasaus[[#This Row],[Tasaus,  €/asukas]]*Tasaus[[#This Row],[Asukasluku 31.12.2022]]</f>
        <v>5195869.3500883384</v>
      </c>
      <c r="P301" s="116"/>
      <c r="Q301" s="117"/>
    </row>
    <row r="302" spans="1:17">
      <c r="A302" s="266">
        <v>981</v>
      </c>
      <c r="B302" s="13" t="s">
        <v>658</v>
      </c>
      <c r="C302" s="267">
        <v>2277</v>
      </c>
      <c r="D302" s="268">
        <v>9.36</v>
      </c>
      <c r="E302" s="14">
        <v>3876111.16879392</v>
      </c>
      <c r="F302" s="14">
        <f>Tasaus[[#This Row],[Kunnallisvero (maksuunpantu), €]]*100/Tasaus[[#This Row],[Tuloveroprosentti 2023]]</f>
        <v>41411444.11104615</v>
      </c>
      <c r="G302" s="269">
        <f>Tasaus[[#This Row],[Verotettava tulo (kunnallisvero), €]]*($D$11/100)</f>
        <v>3052023.4309841017</v>
      </c>
      <c r="H302" s="14">
        <v>203090.62754394053</v>
      </c>
      <c r="I302" s="15">
        <v>267828.59654999996</v>
      </c>
      <c r="J302" s="15">
        <f>SUM(Tasaus[[#This Row],[Laskennallinen kunnallisvero, €]:[Laskennallinen kiinteistövero, €]])</f>
        <v>3522942.6550780423</v>
      </c>
      <c r="K302" s="15">
        <f>Tasaus[[#This Row],[Laskennallinen verotulo yhteensä, €]]/Tasaus[[#This Row],[Asukasluku 31.12.2022]]</f>
        <v>1547.186058444463</v>
      </c>
      <c r="L302" s="34">
        <f>$K$11-Tasaus[[#This Row],[Laskennallinen verotulo yhteensä, €/asukas (=tasausraja)]]</f>
        <v>596.77394155553702</v>
      </c>
      <c r="M302" s="369">
        <f>IF(Tasaus[[#This Row],[Erotus = tasausraja - laskennallinen verotulo, €/asukas]]&gt;0,(Tasaus[[#This Row],[Erotus = tasausraja - laskennallinen verotulo, €/asukas]]*$B$7),(Tasaus[[#This Row],[Erotus = tasausraja - laskennallinen verotulo, €/asukas]]*$B$8))</f>
        <v>537.09654739998336</v>
      </c>
      <c r="N302" s="370">
        <f>Tasaus[[#This Row],[Tasaus,  €/asukas]]*Tasaus[[#This Row],[Asukasluku 31.12.2022]]</f>
        <v>1222968.8384297621</v>
      </c>
      <c r="P302" s="116"/>
      <c r="Q302" s="117"/>
    </row>
    <row r="303" spans="1:17">
      <c r="A303" s="266">
        <v>989</v>
      </c>
      <c r="B303" s="13" t="s">
        <v>659</v>
      </c>
      <c r="C303" s="267">
        <v>5336</v>
      </c>
      <c r="D303" s="268">
        <v>9.8599999999999959</v>
      </c>
      <c r="E303" s="14">
        <v>8900368.5220243502</v>
      </c>
      <c r="F303" s="14">
        <f>Tasaus[[#This Row],[Kunnallisvero (maksuunpantu), €]]*100/Tasaus[[#This Row],[Tuloveroprosentti 2023]]</f>
        <v>90267429.229455918</v>
      </c>
      <c r="G303" s="269">
        <f>Tasaus[[#This Row],[Verotettava tulo (kunnallisvero), €]]*($D$11/100)</f>
        <v>6652709.5342109026</v>
      </c>
      <c r="H303" s="14">
        <v>1371682.9609491613</v>
      </c>
      <c r="I303" s="15">
        <v>1043464.89125</v>
      </c>
      <c r="J303" s="15">
        <f>SUM(Tasaus[[#This Row],[Laskennallinen kunnallisvero, €]:[Laskennallinen kiinteistövero, €]])</f>
        <v>9067857.3864100631</v>
      </c>
      <c r="K303" s="15">
        <f>Tasaus[[#This Row],[Laskennallinen verotulo yhteensä, €]]/Tasaus[[#This Row],[Asukasluku 31.12.2022]]</f>
        <v>1699.3735731653042</v>
      </c>
      <c r="L303" s="34">
        <f>$K$11-Tasaus[[#This Row],[Laskennallinen verotulo yhteensä, €/asukas (=tasausraja)]]</f>
        <v>444.58642683469589</v>
      </c>
      <c r="M303" s="369">
        <f>IF(Tasaus[[#This Row],[Erotus = tasausraja - laskennallinen verotulo, €/asukas]]&gt;0,(Tasaus[[#This Row],[Erotus = tasausraja - laskennallinen verotulo, €/asukas]]*$B$7),(Tasaus[[#This Row],[Erotus = tasausraja - laskennallinen verotulo, €/asukas]]*$B$8))</f>
        <v>400.12778415122631</v>
      </c>
      <c r="N303" s="370">
        <f>Tasaus[[#This Row],[Tasaus,  €/asukas]]*Tasaus[[#This Row],[Asukasluku 31.12.2022]]</f>
        <v>2135081.8562309435</v>
      </c>
      <c r="P303" s="116"/>
      <c r="Q303" s="117"/>
    </row>
    <row r="304" spans="1:17">
      <c r="A304" s="266">
        <v>992</v>
      </c>
      <c r="B304" s="13" t="s">
        <v>660</v>
      </c>
      <c r="C304" s="267">
        <v>18163</v>
      </c>
      <c r="D304" s="268">
        <v>8.86</v>
      </c>
      <c r="E304" s="14">
        <v>29507564.692061748</v>
      </c>
      <c r="F304" s="14">
        <f>Tasaus[[#This Row],[Kunnallisvero (maksuunpantu), €]]*100/Tasaus[[#This Row],[Tuloveroprosentti 2023]]</f>
        <v>333042490.88105816</v>
      </c>
      <c r="G304" s="269">
        <f>Tasaus[[#This Row],[Verotettava tulo (kunnallisvero), €]]*($D$11/100)</f>
        <v>24545231.577933989</v>
      </c>
      <c r="H304" s="14">
        <v>6465998.8892676979</v>
      </c>
      <c r="I304" s="15">
        <v>3118783.3461499996</v>
      </c>
      <c r="J304" s="15">
        <f>SUM(Tasaus[[#This Row],[Laskennallinen kunnallisvero, €]:[Laskennallinen kiinteistövero, €]])</f>
        <v>34130013.813351691</v>
      </c>
      <c r="K304" s="15">
        <f>Tasaus[[#This Row],[Laskennallinen verotulo yhteensä, €]]/Tasaus[[#This Row],[Asukasluku 31.12.2022]]</f>
        <v>1879.0956237048777</v>
      </c>
      <c r="L304" s="34">
        <f>$K$11-Tasaus[[#This Row],[Laskennallinen verotulo yhteensä, €/asukas (=tasausraja)]]</f>
        <v>264.86437629512238</v>
      </c>
      <c r="M304" s="369">
        <f>IF(Tasaus[[#This Row],[Erotus = tasausraja - laskennallinen verotulo, €/asukas]]&gt;0,(Tasaus[[#This Row],[Erotus = tasausraja - laskennallinen verotulo, €/asukas]]*$B$7),(Tasaus[[#This Row],[Erotus = tasausraja - laskennallinen verotulo, €/asukas]]*$B$8))</f>
        <v>238.37793866561015</v>
      </c>
      <c r="N304" s="370">
        <f>Tasaus[[#This Row],[Tasaus,  €/asukas]]*Tasaus[[#This Row],[Asukasluku 31.12.2022]]</f>
        <v>4329658.4999834774</v>
      </c>
      <c r="P304" s="116"/>
      <c r="Q304" s="117"/>
    </row>
  </sheetData>
  <pageMargins left="0.7" right="0.7" top="0.75" bottom="0.75" header="0.3" footer="0.3"/>
  <pageSetup paperSize="9" orientation="portrait" r:id="rId1"/>
  <ignoredErrors>
    <ignoredError sqref="D11 D12:D304"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8"/>
  <sheetViews>
    <sheetView zoomScale="90" zoomScaleNormal="90" workbookViewId="0">
      <pane xSplit="2" ySplit="4" topLeftCell="C5" activePane="bottomRight" state="frozen"/>
      <selection activeCell="G29" sqref="G29"/>
      <selection pane="topRight" activeCell="G29" sqref="G29"/>
      <selection pane="bottomLeft" activeCell="G29" sqref="G29"/>
      <selection pane="bottomRight"/>
    </sheetView>
  </sheetViews>
  <sheetFormatPr defaultRowHeight="15"/>
  <cols>
    <col min="1" max="1" width="8.375" style="298" customWidth="1"/>
    <col min="2" max="2" width="12.5" style="297" bestFit="1" customWidth="1"/>
    <col min="3" max="3" width="21.375" customWidth="1"/>
    <col min="4" max="5" width="16.875" customWidth="1"/>
    <col min="6" max="6" width="24.375" customWidth="1"/>
    <col min="7" max="8" width="9.625" bestFit="1" customWidth="1"/>
  </cols>
  <sheetData>
    <row r="1" spans="1:6" ht="23.25">
      <c r="A1" s="314" t="s">
        <v>884</v>
      </c>
      <c r="C1" s="327"/>
      <c r="F1" s="327"/>
    </row>
    <row r="2" spans="1:6">
      <c r="A2" s="298" t="s">
        <v>367</v>
      </c>
      <c r="B2" s="299"/>
    </row>
    <row r="3" spans="1:6" s="212" customFormat="1" ht="28.5">
      <c r="A3" s="220" t="s">
        <v>669</v>
      </c>
      <c r="B3" s="221" t="s">
        <v>3</v>
      </c>
      <c r="C3" s="220" t="s">
        <v>886</v>
      </c>
      <c r="D3" s="220" t="s">
        <v>749</v>
      </c>
      <c r="E3" s="220" t="s">
        <v>885</v>
      </c>
      <c r="F3" s="220" t="s">
        <v>887</v>
      </c>
    </row>
    <row r="4" spans="1:6">
      <c r="A4" s="297"/>
      <c r="B4" s="297" t="s">
        <v>371</v>
      </c>
      <c r="C4" s="169">
        <f>SUM(C5:C297)</f>
        <v>851000000.00000155</v>
      </c>
      <c r="D4" s="169">
        <f>SUM(D5:D297)</f>
        <v>-3000000.0000000061</v>
      </c>
      <c r="E4" s="169">
        <f>SUM(E5:E297)</f>
        <v>-307499999.99999988</v>
      </c>
      <c r="F4" s="300">
        <f>SUM(F5:F297)</f>
        <v>540500000.00000083</v>
      </c>
    </row>
    <row r="5" spans="1:6">
      <c r="A5" s="32">
        <v>5</v>
      </c>
      <c r="B5" s="13" t="s">
        <v>12</v>
      </c>
      <c r="C5" s="164">
        <v>1995400.0337450588</v>
      </c>
      <c r="D5" s="164">
        <v>3436.7496087450891</v>
      </c>
      <c r="E5" s="164">
        <v>-594270.8757717245</v>
      </c>
      <c r="F5" s="300">
        <f>Verokompensaatiot[[#This Row],[Korvaukset vuosilta 2010-2023, €]]+Verokompensaatiot[[#This Row],[Veromenetysten korvaus 2024]]+Verokompensaatiot[[#This Row],[Veromenetysten korvaus 2025]]</f>
        <v>1404565.9075820795</v>
      </c>
    </row>
    <row r="6" spans="1:6">
      <c r="A6" s="32">
        <v>9</v>
      </c>
      <c r="B6" s="13" t="s">
        <v>13</v>
      </c>
      <c r="C6" s="164">
        <v>527121.88997430378</v>
      </c>
      <c r="D6" s="164">
        <v>-2403.1163006271436</v>
      </c>
      <c r="E6" s="164">
        <v>-179075.28497707509</v>
      </c>
      <c r="F6" s="300">
        <f>Verokompensaatiot[[#This Row],[Korvaukset vuosilta 2010-2023, €]]+Verokompensaatiot[[#This Row],[Veromenetysten korvaus 2024]]+Verokompensaatiot[[#This Row],[Veromenetysten korvaus 2025]]</f>
        <v>345643.48869660159</v>
      </c>
    </row>
    <row r="7" spans="1:6">
      <c r="A7" s="32">
        <v>10</v>
      </c>
      <c r="B7" s="13" t="s">
        <v>14</v>
      </c>
      <c r="C7" s="164">
        <v>2441205.4908443792</v>
      </c>
      <c r="D7" s="164">
        <v>5165.6234524411557</v>
      </c>
      <c r="E7" s="164">
        <v>-793475.46426843619</v>
      </c>
      <c r="F7" s="300">
        <f>Verokompensaatiot[[#This Row],[Korvaukset vuosilta 2010-2023, €]]+Verokompensaatiot[[#This Row],[Veromenetysten korvaus 2024]]+Verokompensaatiot[[#This Row],[Veromenetysten korvaus 2025]]</f>
        <v>1652895.6500283843</v>
      </c>
    </row>
    <row r="8" spans="1:6">
      <c r="A8" s="32">
        <v>16</v>
      </c>
      <c r="B8" s="13" t="s">
        <v>15</v>
      </c>
      <c r="C8" s="164">
        <v>1409657.9092009971</v>
      </c>
      <c r="D8" s="164">
        <v>-29276.210337117154</v>
      </c>
      <c r="E8" s="164">
        <v>-403819.85731770773</v>
      </c>
      <c r="F8" s="300">
        <f>Verokompensaatiot[[#This Row],[Korvaukset vuosilta 2010-2023, €]]+Verokompensaatiot[[#This Row],[Veromenetysten korvaus 2024]]+Verokompensaatiot[[#This Row],[Veromenetysten korvaus 2025]]</f>
        <v>976561.84154617228</v>
      </c>
    </row>
    <row r="9" spans="1:6">
      <c r="A9" s="32">
        <v>18</v>
      </c>
      <c r="B9" s="13" t="s">
        <v>16</v>
      </c>
      <c r="C9" s="164">
        <v>844062.0157252152</v>
      </c>
      <c r="D9" s="164">
        <v>-33517.066494043691</v>
      </c>
      <c r="E9" s="164">
        <v>-349570.85136313323</v>
      </c>
      <c r="F9" s="300">
        <f>Verokompensaatiot[[#This Row],[Korvaukset vuosilta 2010-2023, €]]+Verokompensaatiot[[#This Row],[Veromenetysten korvaus 2024]]+Verokompensaatiot[[#This Row],[Veromenetysten korvaus 2025]]</f>
        <v>460974.09786803828</v>
      </c>
    </row>
    <row r="10" spans="1:6">
      <c r="A10" s="32">
        <v>19</v>
      </c>
      <c r="B10" s="13" t="s">
        <v>17</v>
      </c>
      <c r="C10" s="164">
        <v>661630.39903514739</v>
      </c>
      <c r="D10" s="164">
        <v>-26280.386824124002</v>
      </c>
      <c r="E10" s="164">
        <v>-301624.81178848766</v>
      </c>
      <c r="F10" s="300">
        <f>Verokompensaatiot[[#This Row],[Korvaukset vuosilta 2010-2023, €]]+Verokompensaatiot[[#This Row],[Veromenetysten korvaus 2024]]+Verokompensaatiot[[#This Row],[Veromenetysten korvaus 2025]]</f>
        <v>333725.20042253571</v>
      </c>
    </row>
    <row r="11" spans="1:6">
      <c r="A11" s="32">
        <v>20</v>
      </c>
      <c r="B11" s="13" t="s">
        <v>18</v>
      </c>
      <c r="C11" s="164">
        <v>2774244.065687079</v>
      </c>
      <c r="D11" s="164">
        <v>-86446.32441932059</v>
      </c>
      <c r="E11" s="164">
        <v>-1305780.989168301</v>
      </c>
      <c r="F11" s="300">
        <f>Verokompensaatiot[[#This Row],[Korvaukset vuosilta 2010-2023, €]]+Verokompensaatiot[[#This Row],[Veromenetysten korvaus 2024]]+Verokompensaatiot[[#This Row],[Veromenetysten korvaus 2025]]</f>
        <v>1382016.7520994574</v>
      </c>
    </row>
    <row r="12" spans="1:6">
      <c r="A12" s="32">
        <v>46</v>
      </c>
      <c r="B12" s="13" t="s">
        <v>19</v>
      </c>
      <c r="C12" s="164">
        <v>299258.7460745069</v>
      </c>
      <c r="D12" s="164">
        <v>-1059.9879670155156</v>
      </c>
      <c r="E12" s="164">
        <v>-67447.033442884</v>
      </c>
      <c r="F12" s="300">
        <f>Verokompensaatiot[[#This Row],[Korvaukset vuosilta 2010-2023, €]]+Verokompensaatiot[[#This Row],[Veromenetysten korvaus 2024]]+Verokompensaatiot[[#This Row],[Veromenetysten korvaus 2025]]</f>
        <v>230751.72466460738</v>
      </c>
    </row>
    <row r="13" spans="1:6">
      <c r="A13" s="32">
        <v>47</v>
      </c>
      <c r="B13" s="13" t="s">
        <v>20</v>
      </c>
      <c r="C13" s="164">
        <v>388613.91736976686</v>
      </c>
      <c r="D13" s="164">
        <v>214.58720829088975</v>
      </c>
      <c r="E13" s="164">
        <v>-112443.32075509874</v>
      </c>
      <c r="F13" s="300">
        <f>Verokompensaatiot[[#This Row],[Korvaukset vuosilta 2010-2023, €]]+Verokompensaatiot[[#This Row],[Veromenetysten korvaus 2024]]+Verokompensaatiot[[#This Row],[Veromenetysten korvaus 2025]]</f>
        <v>276385.18382295896</v>
      </c>
    </row>
    <row r="14" spans="1:6">
      <c r="A14" s="32">
        <v>49</v>
      </c>
      <c r="B14" s="13" t="s">
        <v>21</v>
      </c>
      <c r="C14" s="164">
        <v>30593192.016809568</v>
      </c>
      <c r="D14" s="164">
        <v>256709.25596878759</v>
      </c>
      <c r="E14" s="164">
        <v>-9042403.859765416</v>
      </c>
      <c r="F14" s="300">
        <f>Verokompensaatiot[[#This Row],[Korvaukset vuosilta 2010-2023, €]]+Verokompensaatiot[[#This Row],[Veromenetysten korvaus 2024]]+Verokompensaatiot[[#This Row],[Veromenetysten korvaus 2025]]</f>
        <v>21807497.413012937</v>
      </c>
    </row>
    <row r="15" spans="1:6">
      <c r="A15" s="32">
        <v>50</v>
      </c>
      <c r="B15" s="13" t="s">
        <v>22</v>
      </c>
      <c r="C15" s="164">
        <v>2090451.7902924223</v>
      </c>
      <c r="D15" s="164">
        <v>-41616.654817366471</v>
      </c>
      <c r="E15" s="164">
        <v>-798826.69562980824</v>
      </c>
      <c r="F15" s="300">
        <f>Verokompensaatiot[[#This Row],[Korvaukset vuosilta 2010-2023, €]]+Verokompensaatiot[[#This Row],[Veromenetysten korvaus 2024]]+Verokompensaatiot[[#This Row],[Veromenetysten korvaus 2025]]</f>
        <v>1250008.4398452477</v>
      </c>
    </row>
    <row r="16" spans="1:6">
      <c r="A16" s="32">
        <v>51</v>
      </c>
      <c r="B16" s="13" t="s">
        <v>23</v>
      </c>
      <c r="C16" s="164">
        <v>1803744.0505200345</v>
      </c>
      <c r="D16" s="164">
        <v>-20371.966430214528</v>
      </c>
      <c r="E16" s="164">
        <v>-343436.46689661953</v>
      </c>
      <c r="F16" s="300">
        <f>Verokompensaatiot[[#This Row],[Korvaukset vuosilta 2010-2023, €]]+Verokompensaatiot[[#This Row],[Veromenetysten korvaus 2024]]+Verokompensaatiot[[#This Row],[Veromenetysten korvaus 2025]]</f>
        <v>1439935.6171932006</v>
      </c>
    </row>
    <row r="17" spans="1:6">
      <c r="A17" s="32">
        <v>52</v>
      </c>
      <c r="B17" s="13" t="s">
        <v>24</v>
      </c>
      <c r="C17" s="164">
        <v>548990.38673231238</v>
      </c>
      <c r="D17" s="164">
        <v>-2911.492499777406</v>
      </c>
      <c r="E17" s="164">
        <v>-175662.00741632745</v>
      </c>
      <c r="F17" s="300">
        <f>Verokompensaatiot[[#This Row],[Korvaukset vuosilta 2010-2023, €]]+Verokompensaatiot[[#This Row],[Veromenetysten korvaus 2024]]+Verokompensaatiot[[#This Row],[Veromenetysten korvaus 2025]]</f>
        <v>370416.88681620755</v>
      </c>
    </row>
    <row r="18" spans="1:6">
      <c r="A18" s="32">
        <v>61</v>
      </c>
      <c r="B18" s="13" t="s">
        <v>25</v>
      </c>
      <c r="C18" s="164">
        <v>3033193.7414299296</v>
      </c>
      <c r="D18" s="164">
        <v>-5565.1227767796081</v>
      </c>
      <c r="E18" s="164">
        <v>-944918.12870514102</v>
      </c>
      <c r="F18" s="300">
        <f>Verokompensaatiot[[#This Row],[Korvaukset vuosilta 2010-2023, €]]+Verokompensaatiot[[#This Row],[Veromenetysten korvaus 2024]]+Verokompensaatiot[[#This Row],[Veromenetysten korvaus 2025]]</f>
        <v>2082710.4899480087</v>
      </c>
    </row>
    <row r="19" spans="1:6">
      <c r="A19" s="32">
        <v>69</v>
      </c>
      <c r="B19" s="13" t="s">
        <v>26</v>
      </c>
      <c r="C19" s="164">
        <v>1358836.9357966036</v>
      </c>
      <c r="D19" s="164">
        <v>1873.121967449817</v>
      </c>
      <c r="E19" s="164">
        <v>-533654.14649553294</v>
      </c>
      <c r="F19" s="300">
        <f>Verokompensaatiot[[#This Row],[Korvaukset vuosilta 2010-2023, €]]+Verokompensaatiot[[#This Row],[Veromenetysten korvaus 2024]]+Verokompensaatiot[[#This Row],[Veromenetysten korvaus 2025]]</f>
        <v>827055.9112685204</v>
      </c>
    </row>
    <row r="20" spans="1:6">
      <c r="A20" s="32">
        <v>71</v>
      </c>
      <c r="B20" s="13" t="s">
        <v>27</v>
      </c>
      <c r="C20" s="164">
        <v>1381039.5184965217</v>
      </c>
      <c r="D20" s="164">
        <v>1833.9800033458559</v>
      </c>
      <c r="E20" s="164">
        <v>-455972.72815153137</v>
      </c>
      <c r="F20" s="300">
        <f>Verokompensaatiot[[#This Row],[Korvaukset vuosilta 2010-2023, €]]+Verokompensaatiot[[#This Row],[Veromenetysten korvaus 2024]]+Verokompensaatiot[[#This Row],[Veromenetysten korvaus 2025]]</f>
        <v>926900.77034833608</v>
      </c>
    </row>
    <row r="21" spans="1:6">
      <c r="A21" s="32">
        <v>72</v>
      </c>
      <c r="B21" s="13" t="s">
        <v>28</v>
      </c>
      <c r="C21" s="164">
        <v>170460.73771434132</v>
      </c>
      <c r="D21" s="164">
        <v>177.07913371267523</v>
      </c>
      <c r="E21" s="164">
        <v>-50204.982517997494</v>
      </c>
      <c r="F21" s="300">
        <f>Verokompensaatiot[[#This Row],[Korvaukset vuosilta 2010-2023, €]]+Verokompensaatiot[[#This Row],[Veromenetysten korvaus 2024]]+Verokompensaatiot[[#This Row],[Veromenetysten korvaus 2025]]</f>
        <v>120432.8343300565</v>
      </c>
    </row>
    <row r="22" spans="1:6">
      <c r="A22" s="32">
        <v>74</v>
      </c>
      <c r="B22" s="13" t="s">
        <v>29</v>
      </c>
      <c r="C22" s="164">
        <v>286522.37275305961</v>
      </c>
      <c r="D22" s="164">
        <v>1297.8568536715866</v>
      </c>
      <c r="E22" s="164">
        <v>-82702.352156226974</v>
      </c>
      <c r="F22" s="300">
        <f>Verokompensaatiot[[#This Row],[Korvaukset vuosilta 2010-2023, €]]+Verokompensaatiot[[#This Row],[Veromenetysten korvaus 2024]]+Verokompensaatiot[[#This Row],[Veromenetysten korvaus 2025]]</f>
        <v>205117.87745050422</v>
      </c>
    </row>
    <row r="23" spans="1:6">
      <c r="A23" s="32">
        <v>75</v>
      </c>
      <c r="B23" s="13" t="s">
        <v>30</v>
      </c>
      <c r="C23" s="164">
        <v>3237145.3558460632</v>
      </c>
      <c r="D23" s="164">
        <v>-62269.166173174111</v>
      </c>
      <c r="E23" s="164">
        <v>-1314524.4087135009</v>
      </c>
      <c r="F23" s="300">
        <f>Verokompensaatiot[[#This Row],[Korvaukset vuosilta 2010-2023, €]]+Verokompensaatiot[[#This Row],[Veromenetysten korvaus 2024]]+Verokompensaatiot[[#This Row],[Veromenetysten korvaus 2025]]</f>
        <v>1860351.7809593882</v>
      </c>
    </row>
    <row r="24" spans="1:6">
      <c r="A24" s="32">
        <v>77</v>
      </c>
      <c r="B24" s="13" t="s">
        <v>31</v>
      </c>
      <c r="C24" s="164">
        <v>1062975.310328146</v>
      </c>
      <c r="D24" s="164">
        <v>-15869.574127233285</v>
      </c>
      <c r="E24" s="164">
        <v>-276122.97138996021</v>
      </c>
      <c r="F24" s="300">
        <f>Verokompensaatiot[[#This Row],[Korvaukset vuosilta 2010-2023, €]]+Verokompensaatiot[[#This Row],[Veromenetysten korvaus 2024]]+Verokompensaatiot[[#This Row],[Veromenetysten korvaus 2025]]</f>
        <v>770982.76481095259</v>
      </c>
    </row>
    <row r="25" spans="1:6">
      <c r="A25" s="32">
        <v>78</v>
      </c>
      <c r="B25" s="13" t="s">
        <v>32</v>
      </c>
      <c r="C25" s="164">
        <v>1250756.2643230706</v>
      </c>
      <c r="D25" s="164">
        <v>-7940.970779633657</v>
      </c>
      <c r="E25" s="164">
        <v>-535547.71754375938</v>
      </c>
      <c r="F25" s="300">
        <f>Verokompensaatiot[[#This Row],[Korvaukset vuosilta 2010-2023, €]]+Verokompensaatiot[[#This Row],[Veromenetysten korvaus 2024]]+Verokompensaatiot[[#This Row],[Veromenetysten korvaus 2025]]</f>
        <v>707267.57599967765</v>
      </c>
    </row>
    <row r="26" spans="1:6">
      <c r="A26" s="32">
        <v>79</v>
      </c>
      <c r="B26" s="13" t="s">
        <v>33</v>
      </c>
      <c r="C26" s="164">
        <v>1086400.6993279201</v>
      </c>
      <c r="D26" s="164">
        <v>-22170.345703692783</v>
      </c>
      <c r="E26" s="164">
        <v>-418809.27122309082</v>
      </c>
      <c r="F26" s="300">
        <f>Verokompensaatiot[[#This Row],[Korvaukset vuosilta 2010-2023, €]]+Verokompensaatiot[[#This Row],[Veromenetysten korvaus 2024]]+Verokompensaatiot[[#This Row],[Veromenetysten korvaus 2025]]</f>
        <v>645421.0824011364</v>
      </c>
    </row>
    <row r="27" spans="1:6">
      <c r="A27" s="32">
        <v>81</v>
      </c>
      <c r="B27" s="13" t="s">
        <v>34</v>
      </c>
      <c r="C27" s="164">
        <v>628569.95055504865</v>
      </c>
      <c r="D27" s="164">
        <v>-8466.3149361640935</v>
      </c>
      <c r="E27" s="164">
        <v>-126484.52435863401</v>
      </c>
      <c r="F27" s="300">
        <f>Verokompensaatiot[[#This Row],[Korvaukset vuosilta 2010-2023, €]]+Verokompensaatiot[[#This Row],[Veromenetysten korvaus 2024]]+Verokompensaatiot[[#This Row],[Veromenetysten korvaus 2025]]</f>
        <v>493619.11126025056</v>
      </c>
    </row>
    <row r="28" spans="1:6">
      <c r="A28" s="32">
        <v>82</v>
      </c>
      <c r="B28" s="36" t="s">
        <v>35</v>
      </c>
      <c r="C28" s="164">
        <v>1420815.5510925855</v>
      </c>
      <c r="D28" s="164">
        <v>-31462.21124120017</v>
      </c>
      <c r="E28" s="164">
        <v>-603865.69799992035</v>
      </c>
      <c r="F28" s="300">
        <f>Verokompensaatiot[[#This Row],[Korvaukset vuosilta 2010-2023, €]]+Verokompensaatiot[[#This Row],[Veromenetysten korvaus 2024]]+Verokompensaatiot[[#This Row],[Veromenetysten korvaus 2025]]</f>
        <v>785487.6418514651</v>
      </c>
    </row>
    <row r="29" spans="1:6">
      <c r="A29" s="32">
        <v>86</v>
      </c>
      <c r="B29" s="13" t="s">
        <v>36</v>
      </c>
      <c r="C29" s="164">
        <v>1438485.8113037464</v>
      </c>
      <c r="D29" s="164">
        <v>-46787.881045552524</v>
      </c>
      <c r="E29" s="164">
        <v>-590003.57932705455</v>
      </c>
      <c r="F29" s="300">
        <f>Verokompensaatiot[[#This Row],[Korvaukset vuosilta 2010-2023, €]]+Verokompensaatiot[[#This Row],[Veromenetysten korvaus 2024]]+Verokompensaatiot[[#This Row],[Veromenetysten korvaus 2025]]</f>
        <v>801694.35093113943</v>
      </c>
    </row>
    <row r="30" spans="1:6">
      <c r="A30" s="32">
        <v>90</v>
      </c>
      <c r="B30" s="13" t="s">
        <v>37</v>
      </c>
      <c r="C30" s="164">
        <v>713124.3294630067</v>
      </c>
      <c r="D30" s="164">
        <v>-9095.1327604986145</v>
      </c>
      <c r="E30" s="164">
        <v>-159671.72846320091</v>
      </c>
      <c r="F30" s="300">
        <f>Verokompensaatiot[[#This Row],[Korvaukset vuosilta 2010-2023, €]]+Verokompensaatiot[[#This Row],[Veromenetysten korvaus 2024]]+Verokompensaatiot[[#This Row],[Veromenetysten korvaus 2025]]</f>
        <v>544357.46823930717</v>
      </c>
    </row>
    <row r="31" spans="1:6">
      <c r="A31" s="32">
        <v>91</v>
      </c>
      <c r="B31" s="13" t="s">
        <v>38</v>
      </c>
      <c r="C31" s="164">
        <v>88279488.98038578</v>
      </c>
      <c r="D31" s="164">
        <v>864623.90791999176</v>
      </c>
      <c r="E31" s="164">
        <v>-22151055.87325478</v>
      </c>
      <c r="F31" s="300">
        <f>Verokompensaatiot[[#This Row],[Korvaukset vuosilta 2010-2023, €]]+Verokompensaatiot[[#This Row],[Veromenetysten korvaus 2024]]+Verokompensaatiot[[#This Row],[Veromenetysten korvaus 2025]]</f>
        <v>66993057.015050992</v>
      </c>
    </row>
    <row r="32" spans="1:6">
      <c r="A32" s="32">
        <v>92</v>
      </c>
      <c r="B32" s="13" t="s">
        <v>39</v>
      </c>
      <c r="C32" s="164">
        <v>30036233.761776581</v>
      </c>
      <c r="D32" s="164">
        <v>262043.73591744184</v>
      </c>
      <c r="E32" s="164">
        <v>-11557859.645320889</v>
      </c>
      <c r="F32" s="300">
        <f>Verokompensaatiot[[#This Row],[Korvaukset vuosilta 2010-2023, €]]+Verokompensaatiot[[#This Row],[Veromenetysten korvaus 2024]]+Verokompensaatiot[[#This Row],[Veromenetysten korvaus 2025]]</f>
        <v>18740417.852373134</v>
      </c>
    </row>
    <row r="33" spans="1:6">
      <c r="A33" s="32">
        <v>97</v>
      </c>
      <c r="B33" s="13" t="s">
        <v>40</v>
      </c>
      <c r="C33" s="164">
        <v>454103.4057926219</v>
      </c>
      <c r="D33" s="164">
        <v>-5420.4505482063032</v>
      </c>
      <c r="E33" s="164">
        <v>-84937.223094590008</v>
      </c>
      <c r="F33" s="300">
        <f>Verokompensaatiot[[#This Row],[Korvaukset vuosilta 2010-2023, €]]+Verokompensaatiot[[#This Row],[Veromenetysten korvaus 2024]]+Verokompensaatiot[[#This Row],[Veromenetysten korvaus 2025]]</f>
        <v>363745.73214982561</v>
      </c>
    </row>
    <row r="34" spans="1:6">
      <c r="A34" s="32">
        <v>98</v>
      </c>
      <c r="B34" s="13" t="s">
        <v>41</v>
      </c>
      <c r="C34" s="164">
        <v>3487316.6869670535</v>
      </c>
      <c r="D34" s="164">
        <v>-69957.278490511992</v>
      </c>
      <c r="E34" s="164">
        <v>-1415833.9705463301</v>
      </c>
      <c r="F34" s="300">
        <f>Verokompensaatiot[[#This Row],[Korvaukset vuosilta 2010-2023, €]]+Verokompensaatiot[[#This Row],[Veromenetysten korvaus 2024]]+Verokompensaatiot[[#This Row],[Veromenetysten korvaus 2025]]</f>
        <v>2001525.4379302112</v>
      </c>
    </row>
    <row r="35" spans="1:6">
      <c r="A35" s="32">
        <v>102</v>
      </c>
      <c r="B35" s="13" t="s">
        <v>42</v>
      </c>
      <c r="C35" s="164">
        <v>2161681.9961973326</v>
      </c>
      <c r="D35" s="164">
        <v>-21125.583266550253</v>
      </c>
      <c r="E35" s="164">
        <v>-700234.55077597022</v>
      </c>
      <c r="F35" s="300">
        <f>Verokompensaatiot[[#This Row],[Korvaukset vuosilta 2010-2023, €]]+Verokompensaatiot[[#This Row],[Veromenetysten korvaus 2024]]+Verokompensaatiot[[#This Row],[Veromenetysten korvaus 2025]]</f>
        <v>1440321.8621548121</v>
      </c>
    </row>
    <row r="36" spans="1:6">
      <c r="A36" s="32">
        <v>103</v>
      </c>
      <c r="B36" s="13" t="s">
        <v>43</v>
      </c>
      <c r="C36" s="164">
        <v>497462.0541783215</v>
      </c>
      <c r="D36" s="164">
        <v>-8575.700025051141</v>
      </c>
      <c r="E36" s="164">
        <v>-150772.92285233401</v>
      </c>
      <c r="F36" s="300">
        <f>Verokompensaatiot[[#This Row],[Korvaukset vuosilta 2010-2023, €]]+Verokompensaatiot[[#This Row],[Veromenetysten korvaus 2024]]+Verokompensaatiot[[#This Row],[Veromenetysten korvaus 2025]]</f>
        <v>338113.43130093638</v>
      </c>
    </row>
    <row r="37" spans="1:6">
      <c r="A37" s="32">
        <v>105</v>
      </c>
      <c r="B37" s="13" t="s">
        <v>44</v>
      </c>
      <c r="C37" s="164">
        <v>501643.3981361636</v>
      </c>
      <c r="D37" s="164">
        <v>-1219.6400483971347</v>
      </c>
      <c r="E37" s="164">
        <v>-111800.10661101284</v>
      </c>
      <c r="F37" s="300">
        <f>Verokompensaatiot[[#This Row],[Korvaukset vuosilta 2010-2023, €]]+Verokompensaatiot[[#This Row],[Veromenetysten korvaus 2024]]+Verokompensaatiot[[#This Row],[Veromenetysten korvaus 2025]]</f>
        <v>388623.65147675364</v>
      </c>
    </row>
    <row r="38" spans="1:6">
      <c r="A38" s="32">
        <v>106</v>
      </c>
      <c r="B38" s="13" t="s">
        <v>45</v>
      </c>
      <c r="C38" s="164">
        <v>6711225.9388995431</v>
      </c>
      <c r="D38" s="164">
        <v>-100130.58104322977</v>
      </c>
      <c r="E38" s="164">
        <v>-2627576.211993685</v>
      </c>
      <c r="F38" s="300">
        <f>Verokompensaatiot[[#This Row],[Korvaukset vuosilta 2010-2023, €]]+Verokompensaatiot[[#This Row],[Veromenetysten korvaus 2024]]+Verokompensaatiot[[#This Row],[Veromenetysten korvaus 2025]]</f>
        <v>3983519.1458626287</v>
      </c>
    </row>
    <row r="39" spans="1:6">
      <c r="A39" s="32">
        <v>108</v>
      </c>
      <c r="B39" s="13" t="s">
        <v>46</v>
      </c>
      <c r="C39" s="164">
        <v>1764880.517693779</v>
      </c>
      <c r="D39" s="164">
        <v>-51325.121760581576</v>
      </c>
      <c r="E39" s="164">
        <v>-737446.74689275282</v>
      </c>
      <c r="F39" s="300">
        <f>Verokompensaatiot[[#This Row],[Korvaukset vuosilta 2010-2023, €]]+Verokompensaatiot[[#This Row],[Veromenetysten korvaus 2024]]+Verokompensaatiot[[#This Row],[Veromenetysten korvaus 2025]]</f>
        <v>976108.64904044452</v>
      </c>
    </row>
    <row r="40" spans="1:6">
      <c r="A40" s="32">
        <v>109</v>
      </c>
      <c r="B40" s="36" t="s">
        <v>47</v>
      </c>
      <c r="C40" s="164">
        <v>10510009.629210036</v>
      </c>
      <c r="D40" s="164">
        <v>-106987.82768813119</v>
      </c>
      <c r="E40" s="164">
        <v>-4145757.2078618235</v>
      </c>
      <c r="F40" s="300">
        <f>Verokompensaatiot[[#This Row],[Korvaukset vuosilta 2010-2023, €]]+Verokompensaatiot[[#This Row],[Veromenetysten korvaus 2024]]+Verokompensaatiot[[#This Row],[Veromenetysten korvaus 2025]]</f>
        <v>6257264.5936600808</v>
      </c>
    </row>
    <row r="41" spans="1:6">
      <c r="A41" s="32">
        <v>111</v>
      </c>
      <c r="B41" s="36" t="s">
        <v>48</v>
      </c>
      <c r="C41" s="164">
        <v>3115929.416874825</v>
      </c>
      <c r="D41" s="164">
        <v>-43032.664248994748</v>
      </c>
      <c r="E41" s="164">
        <v>-973889.60004905297</v>
      </c>
      <c r="F41" s="300">
        <f>Verokompensaatiot[[#This Row],[Korvaukset vuosilta 2010-2023, €]]+Verokompensaatiot[[#This Row],[Veromenetysten korvaus 2024]]+Verokompensaatiot[[#This Row],[Veromenetysten korvaus 2025]]</f>
        <v>2099007.1525767776</v>
      </c>
    </row>
    <row r="42" spans="1:6">
      <c r="A42" s="32">
        <v>139</v>
      </c>
      <c r="B42" s="36" t="s">
        <v>49</v>
      </c>
      <c r="C42" s="164">
        <v>1480868.7365664411</v>
      </c>
      <c r="D42" s="164">
        <v>-31671.882484217636</v>
      </c>
      <c r="E42" s="164">
        <v>-642716.08756963362</v>
      </c>
      <c r="F42" s="300">
        <f>Verokompensaatiot[[#This Row],[Korvaukset vuosilta 2010-2023, €]]+Verokompensaatiot[[#This Row],[Veromenetysten korvaus 2024]]+Verokompensaatiot[[#This Row],[Veromenetysten korvaus 2025]]</f>
        <v>806480.76651258988</v>
      </c>
    </row>
    <row r="43" spans="1:6">
      <c r="A43" s="32">
        <v>140</v>
      </c>
      <c r="B43" s="36" t="s">
        <v>50</v>
      </c>
      <c r="C43" s="164">
        <v>3680626.5974915642</v>
      </c>
      <c r="D43" s="164">
        <v>-1209.9344271720656</v>
      </c>
      <c r="E43" s="164">
        <v>-1239244.0233074853</v>
      </c>
      <c r="F43" s="300">
        <f>Verokompensaatiot[[#This Row],[Korvaukset vuosilta 2010-2023, €]]+Verokompensaatiot[[#This Row],[Veromenetysten korvaus 2024]]+Verokompensaatiot[[#This Row],[Veromenetysten korvaus 2025]]</f>
        <v>2440172.6397569068</v>
      </c>
    </row>
    <row r="44" spans="1:6">
      <c r="A44" s="32">
        <v>142</v>
      </c>
      <c r="B44" s="36" t="s">
        <v>51</v>
      </c>
      <c r="C44" s="164">
        <v>1192204.6543184984</v>
      </c>
      <c r="D44" s="164">
        <v>-23240.354477863897</v>
      </c>
      <c r="E44" s="164">
        <v>-387309.13897923741</v>
      </c>
      <c r="F44" s="300">
        <f>Verokompensaatiot[[#This Row],[Korvaukset vuosilta 2010-2023, €]]+Verokompensaatiot[[#This Row],[Veromenetysten korvaus 2024]]+Verokompensaatiot[[#This Row],[Veromenetysten korvaus 2025]]</f>
        <v>781655.16086139705</v>
      </c>
    </row>
    <row r="45" spans="1:6">
      <c r="A45" s="32">
        <v>143</v>
      </c>
      <c r="B45" s="13" t="s">
        <v>52</v>
      </c>
      <c r="C45" s="164">
        <v>1376624.8416008945</v>
      </c>
      <c r="D45" s="164">
        <v>-22604.627406575411</v>
      </c>
      <c r="E45" s="164">
        <v>-425299.82029495155</v>
      </c>
      <c r="F45" s="300">
        <f>Verokompensaatiot[[#This Row],[Korvaukset vuosilta 2010-2023, €]]+Verokompensaatiot[[#This Row],[Veromenetysten korvaus 2024]]+Verokompensaatiot[[#This Row],[Veromenetysten korvaus 2025]]</f>
        <v>928720.39389936742</v>
      </c>
    </row>
    <row r="46" spans="1:6">
      <c r="A46" s="32">
        <v>145</v>
      </c>
      <c r="B46" s="13" t="s">
        <v>53</v>
      </c>
      <c r="C46" s="164">
        <v>2214616.8171209665</v>
      </c>
      <c r="D46" s="164">
        <v>-35743.902947357696</v>
      </c>
      <c r="E46" s="164">
        <v>-866781.67964715778</v>
      </c>
      <c r="F46" s="300">
        <f>Verokompensaatiot[[#This Row],[Korvaukset vuosilta 2010-2023, €]]+Verokompensaatiot[[#This Row],[Veromenetysten korvaus 2024]]+Verokompensaatiot[[#This Row],[Veromenetysten korvaus 2025]]</f>
        <v>1312091.2345264507</v>
      </c>
    </row>
    <row r="47" spans="1:6">
      <c r="A47" s="32">
        <v>146</v>
      </c>
      <c r="B47" s="13" t="s">
        <v>54</v>
      </c>
      <c r="C47" s="164">
        <v>1027671.2188625727</v>
      </c>
      <c r="D47" s="164">
        <v>-712.4371671934905</v>
      </c>
      <c r="E47" s="164">
        <v>-221410.00133768874</v>
      </c>
      <c r="F47" s="300">
        <f>Verokompensaatiot[[#This Row],[Korvaukset vuosilta 2010-2023, €]]+Verokompensaatiot[[#This Row],[Veromenetysten korvaus 2024]]+Verokompensaatiot[[#This Row],[Veromenetysten korvaus 2025]]</f>
        <v>805548.78035769041</v>
      </c>
    </row>
    <row r="48" spans="1:6">
      <c r="A48" s="32">
        <v>148</v>
      </c>
      <c r="B48" s="13" t="s">
        <v>55</v>
      </c>
      <c r="C48" s="164">
        <v>1158727.0007333471</v>
      </c>
      <c r="D48" s="164">
        <v>4167.097592062124</v>
      </c>
      <c r="E48" s="164">
        <v>-363927.62359801424</v>
      </c>
      <c r="F48" s="300">
        <f>Verokompensaatiot[[#This Row],[Korvaukset vuosilta 2010-2023, €]]+Verokompensaatiot[[#This Row],[Veromenetysten korvaus 2024]]+Verokompensaatiot[[#This Row],[Veromenetysten korvaus 2025]]</f>
        <v>798966.47472739499</v>
      </c>
    </row>
    <row r="49" spans="1:6">
      <c r="A49" s="32">
        <v>149</v>
      </c>
      <c r="B49" s="13" t="s">
        <v>56</v>
      </c>
      <c r="C49" s="164">
        <v>894655.11603372497</v>
      </c>
      <c r="D49" s="164">
        <v>-32224.288829976264</v>
      </c>
      <c r="E49" s="164">
        <v>-305371.23469080718</v>
      </c>
      <c r="F49" s="300">
        <f>Verokompensaatiot[[#This Row],[Korvaukset vuosilta 2010-2023, €]]+Verokompensaatiot[[#This Row],[Veromenetysten korvaus 2024]]+Verokompensaatiot[[#This Row],[Veromenetysten korvaus 2025]]</f>
        <v>557059.59251294157</v>
      </c>
    </row>
    <row r="50" spans="1:6">
      <c r="A50" s="32">
        <v>151</v>
      </c>
      <c r="B50" s="13" t="s">
        <v>57</v>
      </c>
      <c r="C50" s="164">
        <v>502072.84695007186</v>
      </c>
      <c r="D50" s="164">
        <v>-2635.8584675075663</v>
      </c>
      <c r="E50" s="164">
        <v>-131345.22886693003</v>
      </c>
      <c r="F50" s="300">
        <f>Verokompensaatiot[[#This Row],[Korvaukset vuosilta 2010-2023, €]]+Verokompensaatiot[[#This Row],[Veromenetysten korvaus 2024]]+Verokompensaatiot[[#This Row],[Veromenetysten korvaus 2025]]</f>
        <v>368091.75961563422</v>
      </c>
    </row>
    <row r="51" spans="1:6">
      <c r="A51" s="32">
        <v>152</v>
      </c>
      <c r="B51" s="13" t="s">
        <v>58</v>
      </c>
      <c r="C51" s="164">
        <v>939656.42120935954</v>
      </c>
      <c r="D51" s="164">
        <v>-12019.920498620108</v>
      </c>
      <c r="E51" s="164">
        <v>-323315.41711573879</v>
      </c>
      <c r="F51" s="300">
        <f>Verokompensaatiot[[#This Row],[Korvaukset vuosilta 2010-2023, €]]+Verokompensaatiot[[#This Row],[Veromenetysten korvaus 2024]]+Verokompensaatiot[[#This Row],[Veromenetysten korvaus 2025]]</f>
        <v>604321.08359500067</v>
      </c>
    </row>
    <row r="52" spans="1:6">
      <c r="A52" s="32">
        <v>153</v>
      </c>
      <c r="B52" s="13" t="s">
        <v>59</v>
      </c>
      <c r="C52" s="164">
        <v>3918225.3298471756</v>
      </c>
      <c r="D52" s="164">
        <v>-52268.085566149122</v>
      </c>
      <c r="E52" s="164">
        <v>-1502324.2970632787</v>
      </c>
      <c r="F52" s="300">
        <f>Verokompensaatiot[[#This Row],[Korvaukset vuosilta 2010-2023, €]]+Verokompensaatiot[[#This Row],[Veromenetysten korvaus 2024]]+Verokompensaatiot[[#This Row],[Veromenetysten korvaus 2025]]</f>
        <v>2363632.9472177476</v>
      </c>
    </row>
    <row r="53" spans="1:6">
      <c r="A53" s="32">
        <v>165</v>
      </c>
      <c r="B53" s="13" t="s">
        <v>60</v>
      </c>
      <c r="C53" s="164">
        <v>2578411.4744891906</v>
      </c>
      <c r="D53" s="164">
        <v>-65662.161854742211</v>
      </c>
      <c r="E53" s="164">
        <v>-1070006.7499661415</v>
      </c>
      <c r="F53" s="300">
        <f>Verokompensaatiot[[#This Row],[Korvaukset vuosilta 2010-2023, €]]+Verokompensaatiot[[#This Row],[Veromenetysten korvaus 2024]]+Verokompensaatiot[[#This Row],[Veromenetysten korvaus 2025]]</f>
        <v>1442742.562668307</v>
      </c>
    </row>
    <row r="54" spans="1:6">
      <c r="A54" s="32">
        <v>167</v>
      </c>
      <c r="B54" s="13" t="s">
        <v>61</v>
      </c>
      <c r="C54" s="164">
        <v>12599686.028364584</v>
      </c>
      <c r="D54" s="164">
        <v>73193.443997824288</v>
      </c>
      <c r="E54" s="164">
        <v>-4494681.6404393334</v>
      </c>
      <c r="F54" s="300">
        <f>Verokompensaatiot[[#This Row],[Korvaukset vuosilta 2010-2023, €]]+Verokompensaatiot[[#This Row],[Veromenetysten korvaus 2024]]+Verokompensaatiot[[#This Row],[Veromenetysten korvaus 2025]]</f>
        <v>8178197.831923075</v>
      </c>
    </row>
    <row r="55" spans="1:6">
      <c r="A55" s="32">
        <v>169</v>
      </c>
      <c r="B55" s="13" t="s">
        <v>62</v>
      </c>
      <c r="C55" s="164">
        <v>915355.61309493193</v>
      </c>
      <c r="D55" s="164">
        <v>-11822.327550822249</v>
      </c>
      <c r="E55" s="164">
        <v>-362378.51473056362</v>
      </c>
      <c r="F55" s="300">
        <f>Verokompensaatiot[[#This Row],[Korvaukset vuosilta 2010-2023, €]]+Verokompensaatiot[[#This Row],[Veromenetysten korvaus 2024]]+Verokompensaatiot[[#This Row],[Veromenetysten korvaus 2025]]</f>
        <v>541154.77081354603</v>
      </c>
    </row>
    <row r="56" spans="1:6">
      <c r="A56" s="32">
        <v>171</v>
      </c>
      <c r="B56" s="13" t="s">
        <v>63</v>
      </c>
      <c r="C56" s="164">
        <v>946112.66206561215</v>
      </c>
      <c r="D56" s="164">
        <v>-6841.1614095781597</v>
      </c>
      <c r="E56" s="164">
        <v>-278771.00715458125</v>
      </c>
      <c r="F56" s="300">
        <f>Verokompensaatiot[[#This Row],[Korvaukset vuosilta 2010-2023, €]]+Verokompensaatiot[[#This Row],[Veromenetysten korvaus 2024]]+Verokompensaatiot[[#This Row],[Veromenetysten korvaus 2025]]</f>
        <v>660500.49350145273</v>
      </c>
    </row>
    <row r="57" spans="1:6">
      <c r="A57" s="32">
        <v>172</v>
      </c>
      <c r="B57" s="13" t="s">
        <v>64</v>
      </c>
      <c r="C57" s="164">
        <v>943783.46906109573</v>
      </c>
      <c r="D57" s="164">
        <v>-13801.466014616803</v>
      </c>
      <c r="E57" s="164">
        <v>-222017.79070381119</v>
      </c>
      <c r="F57" s="300">
        <f>Verokompensaatiot[[#This Row],[Korvaukset vuosilta 2010-2023, €]]+Verokompensaatiot[[#This Row],[Veromenetysten korvaus 2024]]+Verokompensaatiot[[#This Row],[Veromenetysten korvaus 2025]]</f>
        <v>707964.21234266774</v>
      </c>
    </row>
    <row r="58" spans="1:6">
      <c r="A58" s="32">
        <v>176</v>
      </c>
      <c r="B58" s="13" t="s">
        <v>65</v>
      </c>
      <c r="C58" s="164">
        <v>997650.35001855297</v>
      </c>
      <c r="D58" s="164">
        <v>-940.68110962621267</v>
      </c>
      <c r="E58" s="164">
        <v>-225027.54703620516</v>
      </c>
      <c r="F58" s="300">
        <f>Verokompensaatiot[[#This Row],[Korvaukset vuosilta 2010-2023, €]]+Verokompensaatiot[[#This Row],[Veromenetysten korvaus 2024]]+Verokompensaatiot[[#This Row],[Veromenetysten korvaus 2025]]</f>
        <v>771682.12187272159</v>
      </c>
    </row>
    <row r="59" spans="1:6">
      <c r="A59" s="32">
        <v>177</v>
      </c>
      <c r="B59" s="13" t="s">
        <v>66</v>
      </c>
      <c r="C59" s="164">
        <v>378838.24359697849</v>
      </c>
      <c r="D59" s="164">
        <v>-6150.712737367302</v>
      </c>
      <c r="E59" s="164">
        <v>-99935.964755587062</v>
      </c>
      <c r="F59" s="300">
        <f>Verokompensaatiot[[#This Row],[Korvaukset vuosilta 2010-2023, €]]+Verokompensaatiot[[#This Row],[Veromenetysten korvaus 2024]]+Verokompensaatiot[[#This Row],[Veromenetysten korvaus 2025]]</f>
        <v>272751.56610402412</v>
      </c>
    </row>
    <row r="60" spans="1:6">
      <c r="A60" s="32">
        <v>178</v>
      </c>
      <c r="B60" s="13" t="s">
        <v>67</v>
      </c>
      <c r="C60" s="164">
        <v>1352222.9635741962</v>
      </c>
      <c r="D60" s="164">
        <v>-8208.1533091010642</v>
      </c>
      <c r="E60" s="164">
        <v>-304018.59953348647</v>
      </c>
      <c r="F60" s="300">
        <f>Verokompensaatiot[[#This Row],[Korvaukset vuosilta 2010-2023, €]]+Verokompensaatiot[[#This Row],[Veromenetysten korvaus 2024]]+Verokompensaatiot[[#This Row],[Veromenetysten korvaus 2025]]</f>
        <v>1039996.2107316088</v>
      </c>
    </row>
    <row r="61" spans="1:6">
      <c r="A61" s="32">
        <v>179</v>
      </c>
      <c r="B61" s="13" t="s">
        <v>68</v>
      </c>
      <c r="C61" s="164">
        <v>21122633.565577343</v>
      </c>
      <c r="D61" s="164">
        <v>98855.513757516979</v>
      </c>
      <c r="E61" s="164">
        <v>-8747292.5746830329</v>
      </c>
      <c r="F61" s="300">
        <f>Verokompensaatiot[[#This Row],[Korvaukset vuosilta 2010-2023, €]]+Verokompensaatiot[[#This Row],[Veromenetysten korvaus 2024]]+Verokompensaatiot[[#This Row],[Veromenetysten korvaus 2025]]</f>
        <v>12474196.504651826</v>
      </c>
    </row>
    <row r="62" spans="1:6">
      <c r="A62" s="32">
        <v>181</v>
      </c>
      <c r="B62" s="13" t="s">
        <v>69</v>
      </c>
      <c r="C62" s="164">
        <v>431797.35128548706</v>
      </c>
      <c r="D62" s="164">
        <v>-5436.04570398958</v>
      </c>
      <c r="E62" s="164">
        <v>-128780.77110698287</v>
      </c>
      <c r="F62" s="300">
        <f>Verokompensaatiot[[#This Row],[Korvaukset vuosilta 2010-2023, €]]+Verokompensaatiot[[#This Row],[Veromenetysten korvaus 2024]]+Verokompensaatiot[[#This Row],[Veromenetysten korvaus 2025]]</f>
        <v>297580.53447451466</v>
      </c>
    </row>
    <row r="63" spans="1:6">
      <c r="A63" s="32">
        <v>182</v>
      </c>
      <c r="B63" s="13" t="s">
        <v>70</v>
      </c>
      <c r="C63" s="164">
        <v>3333770.6346947895</v>
      </c>
      <c r="D63" s="164">
        <v>-58381.046861065261</v>
      </c>
      <c r="E63" s="164">
        <v>-1277676.2867602261</v>
      </c>
      <c r="F63" s="300">
        <f>Verokompensaatiot[[#This Row],[Korvaukset vuosilta 2010-2023, €]]+Verokompensaatiot[[#This Row],[Veromenetysten korvaus 2024]]+Verokompensaatiot[[#This Row],[Veromenetysten korvaus 2025]]</f>
        <v>1997713.3010734983</v>
      </c>
    </row>
    <row r="64" spans="1:6">
      <c r="A64" s="32">
        <v>186</v>
      </c>
      <c r="B64" s="13" t="s">
        <v>71</v>
      </c>
      <c r="C64" s="164">
        <v>5476934.4101341143</v>
      </c>
      <c r="D64" s="164">
        <v>-78069.60294812551</v>
      </c>
      <c r="E64" s="164">
        <v>-2607996.0152040375</v>
      </c>
      <c r="F64" s="300">
        <f>Verokompensaatiot[[#This Row],[Korvaukset vuosilta 2010-2023, €]]+Verokompensaatiot[[#This Row],[Veromenetysten korvaus 2024]]+Verokompensaatiot[[#This Row],[Veromenetysten korvaus 2025]]</f>
        <v>2790868.7919819513</v>
      </c>
    </row>
    <row r="65" spans="1:6">
      <c r="A65" s="32">
        <v>202</v>
      </c>
      <c r="B65" s="13" t="s">
        <v>72</v>
      </c>
      <c r="C65" s="164">
        <v>3823613.8257266618</v>
      </c>
      <c r="D65" s="164">
        <v>-84699.916626238351</v>
      </c>
      <c r="E65" s="164">
        <v>-2024147.276602156</v>
      </c>
      <c r="F65" s="300">
        <f>Verokompensaatiot[[#This Row],[Korvaukset vuosilta 2010-2023, €]]+Verokompensaatiot[[#This Row],[Veromenetysten korvaus 2024]]+Verokompensaatiot[[#This Row],[Veromenetysten korvaus 2025]]</f>
        <v>1714766.6324982676</v>
      </c>
    </row>
    <row r="66" spans="1:6">
      <c r="A66" s="32">
        <v>204</v>
      </c>
      <c r="B66" s="13" t="s">
        <v>73</v>
      </c>
      <c r="C66" s="164">
        <v>625921.38121557003</v>
      </c>
      <c r="D66" s="164">
        <v>-7622.9627569143486</v>
      </c>
      <c r="E66" s="164">
        <v>-168765.13734373092</v>
      </c>
      <c r="F66" s="300">
        <f>Verokompensaatiot[[#This Row],[Korvaukset vuosilta 2010-2023, €]]+Verokompensaatiot[[#This Row],[Veromenetysten korvaus 2024]]+Verokompensaatiot[[#This Row],[Veromenetysten korvaus 2025]]</f>
        <v>449533.28111492482</v>
      </c>
    </row>
    <row r="67" spans="1:6">
      <c r="A67" s="32">
        <v>205</v>
      </c>
      <c r="B67" s="13" t="s">
        <v>74</v>
      </c>
      <c r="C67" s="164">
        <v>5725031.784805065</v>
      </c>
      <c r="D67" s="164">
        <v>-6910.8818579301087</v>
      </c>
      <c r="E67" s="164">
        <v>-2424163.8388664927</v>
      </c>
      <c r="F67" s="300">
        <f>Verokompensaatiot[[#This Row],[Korvaukset vuosilta 2010-2023, €]]+Verokompensaatiot[[#This Row],[Veromenetysten korvaus 2024]]+Verokompensaatiot[[#This Row],[Veromenetysten korvaus 2025]]</f>
        <v>3293957.0640806425</v>
      </c>
    </row>
    <row r="68" spans="1:6">
      <c r="A68" s="32">
        <v>208</v>
      </c>
      <c r="B68" s="13" t="s">
        <v>75</v>
      </c>
      <c r="C68" s="164">
        <v>2430519.1975263674</v>
      </c>
      <c r="D68" s="164">
        <v>-7376.2791315075774</v>
      </c>
      <c r="E68" s="164">
        <v>-776848.657006911</v>
      </c>
      <c r="F68" s="300">
        <f>Verokompensaatiot[[#This Row],[Korvaukset vuosilta 2010-2023, €]]+Verokompensaatiot[[#This Row],[Veromenetysten korvaus 2024]]+Verokompensaatiot[[#This Row],[Veromenetysten korvaus 2025]]</f>
        <v>1646294.2613879489</v>
      </c>
    </row>
    <row r="69" spans="1:6">
      <c r="A69" s="32">
        <v>211</v>
      </c>
      <c r="B69" s="13" t="s">
        <v>76</v>
      </c>
      <c r="C69" s="164">
        <v>4309006.4312020615</v>
      </c>
      <c r="D69" s="164">
        <v>-86875.951082001819</v>
      </c>
      <c r="E69" s="164">
        <v>-2406286.196939473</v>
      </c>
      <c r="F69" s="300">
        <f>Verokompensaatiot[[#This Row],[Korvaukset vuosilta 2010-2023, €]]+Verokompensaatiot[[#This Row],[Veromenetysten korvaus 2024]]+Verokompensaatiot[[#This Row],[Veromenetysten korvaus 2025]]</f>
        <v>1815844.283180587</v>
      </c>
    </row>
    <row r="70" spans="1:6">
      <c r="A70" s="32">
        <v>213</v>
      </c>
      <c r="B70" s="13" t="s">
        <v>77</v>
      </c>
      <c r="C70" s="164">
        <v>1126664.5288037318</v>
      </c>
      <c r="D70" s="164">
        <v>-16368.791765506567</v>
      </c>
      <c r="E70" s="164">
        <v>-312247.51106053521</v>
      </c>
      <c r="F70" s="300">
        <f>Verokompensaatiot[[#This Row],[Korvaukset vuosilta 2010-2023, €]]+Verokompensaatiot[[#This Row],[Veromenetysten korvaus 2024]]+Verokompensaatiot[[#This Row],[Veromenetysten korvaus 2025]]</f>
        <v>798048.22597768996</v>
      </c>
    </row>
    <row r="71" spans="1:6">
      <c r="A71" s="32">
        <v>214</v>
      </c>
      <c r="B71" s="13" t="s">
        <v>78</v>
      </c>
      <c r="C71" s="164">
        <v>2642332.2678220179</v>
      </c>
      <c r="D71" s="164">
        <v>4609.9258001460439</v>
      </c>
      <c r="E71" s="164">
        <v>-847991.64156447072</v>
      </c>
      <c r="F71" s="300">
        <f>Verokompensaatiot[[#This Row],[Korvaukset vuosilta 2010-2023, €]]+Verokompensaatiot[[#This Row],[Veromenetysten korvaus 2024]]+Verokompensaatiot[[#This Row],[Veromenetysten korvaus 2025]]</f>
        <v>1798950.5520576932</v>
      </c>
    </row>
    <row r="72" spans="1:6">
      <c r="A72" s="32">
        <v>216</v>
      </c>
      <c r="B72" s="13" t="s">
        <v>79</v>
      </c>
      <c r="C72" s="164">
        <v>301479.03133509611</v>
      </c>
      <c r="D72" s="164">
        <v>-687.33554110710202</v>
      </c>
      <c r="E72" s="164">
        <v>-71168.31899405703</v>
      </c>
      <c r="F72" s="300">
        <f>Verokompensaatiot[[#This Row],[Korvaukset vuosilta 2010-2023, €]]+Verokompensaatiot[[#This Row],[Veromenetysten korvaus 2024]]+Verokompensaatiot[[#This Row],[Veromenetysten korvaus 2025]]</f>
        <v>229623.37679993198</v>
      </c>
    </row>
    <row r="73" spans="1:6">
      <c r="A73" s="32">
        <v>217</v>
      </c>
      <c r="B73" s="13" t="s">
        <v>80</v>
      </c>
      <c r="C73" s="164">
        <v>1064158.2011571038</v>
      </c>
      <c r="D73" s="164">
        <v>-12654.128782342796</v>
      </c>
      <c r="E73" s="164">
        <v>-386181.45259207528</v>
      </c>
      <c r="F73" s="300">
        <f>Verokompensaatiot[[#This Row],[Korvaukset vuosilta 2010-2023, €]]+Verokompensaatiot[[#This Row],[Veromenetysten korvaus 2024]]+Verokompensaatiot[[#This Row],[Veromenetysten korvaus 2025]]</f>
        <v>665322.61978268554</v>
      </c>
    </row>
    <row r="74" spans="1:6">
      <c r="A74" s="32">
        <v>218</v>
      </c>
      <c r="B74" s="13" t="s">
        <v>81</v>
      </c>
      <c r="C74" s="164">
        <v>340927.93071164901</v>
      </c>
      <c r="D74" s="164">
        <v>-4156.5162519142486</v>
      </c>
      <c r="E74" s="164">
        <v>-86052.860702988415</v>
      </c>
      <c r="F74" s="300">
        <f>Verokompensaatiot[[#This Row],[Korvaukset vuosilta 2010-2023, €]]+Verokompensaatiot[[#This Row],[Veromenetysten korvaus 2024]]+Verokompensaatiot[[#This Row],[Veromenetysten korvaus 2025]]</f>
        <v>250718.55375674635</v>
      </c>
    </row>
    <row r="75" spans="1:6">
      <c r="A75" s="32">
        <v>224</v>
      </c>
      <c r="B75" s="13" t="s">
        <v>82</v>
      </c>
      <c r="C75" s="164">
        <v>1484090.8745698924</v>
      </c>
      <c r="D75" s="164">
        <v>-49414.161021954918</v>
      </c>
      <c r="E75" s="164">
        <v>-565050.19038391265</v>
      </c>
      <c r="F75" s="300">
        <f>Verokompensaatiot[[#This Row],[Korvaukset vuosilta 2010-2023, €]]+Verokompensaatiot[[#This Row],[Veromenetysten korvaus 2024]]+Verokompensaatiot[[#This Row],[Veromenetysten korvaus 2025]]</f>
        <v>869626.52316402493</v>
      </c>
    </row>
    <row r="76" spans="1:6">
      <c r="A76" s="32">
        <v>226</v>
      </c>
      <c r="B76" s="13" t="s">
        <v>83</v>
      </c>
      <c r="C76" s="164">
        <v>806360.18822150188</v>
      </c>
      <c r="D76" s="164">
        <v>-3052.0547335777237</v>
      </c>
      <c r="E76" s="164">
        <v>-216369.56490700025</v>
      </c>
      <c r="F76" s="300">
        <f>Verokompensaatiot[[#This Row],[Korvaukset vuosilta 2010-2023, €]]+Verokompensaatiot[[#This Row],[Veromenetysten korvaus 2024]]+Verokompensaatiot[[#This Row],[Veromenetysten korvaus 2025]]</f>
        <v>586938.56858092383</v>
      </c>
    </row>
    <row r="77" spans="1:6">
      <c r="A77" s="32">
        <v>230</v>
      </c>
      <c r="B77" s="13" t="s">
        <v>84</v>
      </c>
      <c r="C77" s="164">
        <v>591678.54719004012</v>
      </c>
      <c r="D77" s="164">
        <v>2846.7097255042809</v>
      </c>
      <c r="E77" s="164">
        <v>-136052.9938823042</v>
      </c>
      <c r="F77" s="300">
        <f>Verokompensaatiot[[#This Row],[Korvaukset vuosilta 2010-2023, €]]+Verokompensaatiot[[#This Row],[Veromenetysten korvaus 2024]]+Verokompensaatiot[[#This Row],[Veromenetysten korvaus 2025]]</f>
        <v>458472.26303324022</v>
      </c>
    </row>
    <row r="78" spans="1:6">
      <c r="A78" s="32">
        <v>231</v>
      </c>
      <c r="B78" s="13" t="s">
        <v>85</v>
      </c>
      <c r="C78" s="164">
        <v>224270.99566541263</v>
      </c>
      <c r="D78" s="164">
        <v>-1246.3639410380288</v>
      </c>
      <c r="E78" s="164">
        <v>-86959.310421063681</v>
      </c>
      <c r="F78" s="300">
        <f>Verokompensaatiot[[#This Row],[Korvaukset vuosilta 2010-2023, €]]+Verokompensaatiot[[#This Row],[Veromenetysten korvaus 2024]]+Verokompensaatiot[[#This Row],[Veromenetysten korvaus 2025]]</f>
        <v>136065.32130331092</v>
      </c>
    </row>
    <row r="79" spans="1:6">
      <c r="A79" s="32">
        <v>232</v>
      </c>
      <c r="B79" s="13" t="s">
        <v>86</v>
      </c>
      <c r="C79" s="164">
        <v>2831877.4419475589</v>
      </c>
      <c r="D79" s="164">
        <v>1967.1027031883168</v>
      </c>
      <c r="E79" s="164">
        <v>-933485.46679450828</v>
      </c>
      <c r="F79" s="300">
        <f>Verokompensaatiot[[#This Row],[Korvaukset vuosilta 2010-2023, €]]+Verokompensaatiot[[#This Row],[Veromenetysten korvaus 2024]]+Verokompensaatiot[[#This Row],[Veromenetysten korvaus 2025]]</f>
        <v>1900359.0778562392</v>
      </c>
    </row>
    <row r="80" spans="1:6">
      <c r="A80" s="32">
        <v>233</v>
      </c>
      <c r="B80" s="13" t="s">
        <v>87</v>
      </c>
      <c r="C80" s="164">
        <v>3403075.8114378415</v>
      </c>
      <c r="D80" s="164">
        <v>-11068.960172852014</v>
      </c>
      <c r="E80" s="164">
        <v>-1060605.275151344</v>
      </c>
      <c r="F80" s="300">
        <f>Verokompensaatiot[[#This Row],[Korvaukset vuosilta 2010-2023, €]]+Verokompensaatiot[[#This Row],[Veromenetysten korvaus 2024]]+Verokompensaatiot[[#This Row],[Veromenetysten korvaus 2025]]</f>
        <v>2331401.5761136455</v>
      </c>
    </row>
    <row r="81" spans="1:6">
      <c r="A81" s="32">
        <v>235</v>
      </c>
      <c r="B81" s="13" t="s">
        <v>88</v>
      </c>
      <c r="C81" s="164">
        <v>662205.84094886249</v>
      </c>
      <c r="D81" s="164">
        <v>-6729.8321869220408</v>
      </c>
      <c r="E81" s="164">
        <v>-181118.77659392238</v>
      </c>
      <c r="F81" s="300">
        <f>Verokompensaatiot[[#This Row],[Korvaukset vuosilta 2010-2023, €]]+Verokompensaatiot[[#This Row],[Veromenetysten korvaus 2024]]+Verokompensaatiot[[#This Row],[Veromenetysten korvaus 2025]]</f>
        <v>474357.232168018</v>
      </c>
    </row>
    <row r="82" spans="1:6">
      <c r="A82" s="32">
        <v>236</v>
      </c>
      <c r="B82" s="13" t="s">
        <v>89</v>
      </c>
      <c r="C82" s="164">
        <v>896489.68078274722</v>
      </c>
      <c r="D82" s="164">
        <v>-8636.7222732605333</v>
      </c>
      <c r="E82" s="164">
        <v>-336707.02934847248</v>
      </c>
      <c r="F82" s="300">
        <f>Verokompensaatiot[[#This Row],[Korvaukset vuosilta 2010-2023, €]]+Verokompensaatiot[[#This Row],[Veromenetysten korvaus 2024]]+Verokompensaatiot[[#This Row],[Veromenetysten korvaus 2025]]</f>
        <v>551145.92916101415</v>
      </c>
    </row>
    <row r="83" spans="1:6">
      <c r="A83" s="32">
        <v>239</v>
      </c>
      <c r="B83" s="13" t="s">
        <v>90</v>
      </c>
      <c r="C83" s="164">
        <v>464543.67246879428</v>
      </c>
      <c r="D83" s="164">
        <v>-2243.5300380938052</v>
      </c>
      <c r="E83" s="164">
        <v>-109202.62877697207</v>
      </c>
      <c r="F83" s="300">
        <f>Verokompensaatiot[[#This Row],[Korvaukset vuosilta 2010-2023, €]]+Verokompensaatiot[[#This Row],[Veromenetysten korvaus 2024]]+Verokompensaatiot[[#This Row],[Veromenetysten korvaus 2025]]</f>
        <v>353097.51365372841</v>
      </c>
    </row>
    <row r="84" spans="1:6">
      <c r="A84" s="32">
        <v>240</v>
      </c>
      <c r="B84" s="13" t="s">
        <v>91</v>
      </c>
      <c r="C84" s="164">
        <v>3195185.7131914506</v>
      </c>
      <c r="D84" s="164">
        <v>19632.211339547281</v>
      </c>
      <c r="E84" s="164">
        <v>-1380718.3222816258</v>
      </c>
      <c r="F84" s="300">
        <f>Verokompensaatiot[[#This Row],[Korvaukset vuosilta 2010-2023, €]]+Verokompensaatiot[[#This Row],[Veromenetysten korvaus 2024]]+Verokompensaatiot[[#This Row],[Veromenetysten korvaus 2025]]</f>
        <v>1834099.6022493721</v>
      </c>
    </row>
    <row r="85" spans="1:6">
      <c r="A85" s="32">
        <v>241</v>
      </c>
      <c r="B85" s="13" t="s">
        <v>92</v>
      </c>
      <c r="C85" s="164">
        <v>1149668.2692131842</v>
      </c>
      <c r="D85" s="164">
        <v>-17125.707925909752</v>
      </c>
      <c r="E85" s="164">
        <v>-515974.26069734164</v>
      </c>
      <c r="F85" s="300">
        <f>Verokompensaatiot[[#This Row],[Korvaukset vuosilta 2010-2023, €]]+Verokompensaatiot[[#This Row],[Veromenetysten korvaus 2024]]+Verokompensaatiot[[#This Row],[Veromenetysten korvaus 2025]]</f>
        <v>616568.30058993294</v>
      </c>
    </row>
    <row r="86" spans="1:6">
      <c r="A86" s="32">
        <v>244</v>
      </c>
      <c r="B86" s="13" t="s">
        <v>93</v>
      </c>
      <c r="C86" s="164">
        <v>2097985.6613888899</v>
      </c>
      <c r="D86" s="164">
        <v>-22608.691577213824</v>
      </c>
      <c r="E86" s="164">
        <v>-1151694.3340722579</v>
      </c>
      <c r="F86" s="300">
        <f>Verokompensaatiot[[#This Row],[Korvaukset vuosilta 2010-2023, €]]+Verokompensaatiot[[#This Row],[Veromenetysten korvaus 2024]]+Verokompensaatiot[[#This Row],[Veromenetysten korvaus 2025]]</f>
        <v>923682.63573941821</v>
      </c>
    </row>
    <row r="87" spans="1:6">
      <c r="A87" s="32">
        <v>245</v>
      </c>
      <c r="B87" s="13" t="s">
        <v>94</v>
      </c>
      <c r="C87" s="164">
        <v>4834905.5185733456</v>
      </c>
      <c r="D87" s="164">
        <v>-10611.50260146337</v>
      </c>
      <c r="E87" s="164">
        <v>-1944412.3483906817</v>
      </c>
      <c r="F87" s="300">
        <f>Verokompensaatiot[[#This Row],[Korvaukset vuosilta 2010-2023, €]]+Verokompensaatiot[[#This Row],[Veromenetysten korvaus 2024]]+Verokompensaatiot[[#This Row],[Veromenetysten korvaus 2025]]</f>
        <v>2879881.6675812006</v>
      </c>
    </row>
    <row r="88" spans="1:6">
      <c r="A88" s="32">
        <v>249</v>
      </c>
      <c r="B88" s="13" t="s">
        <v>95</v>
      </c>
      <c r="C88" s="164">
        <v>1689805.5154613359</v>
      </c>
      <c r="D88" s="164">
        <v>-24391.308529651425</v>
      </c>
      <c r="E88" s="164">
        <v>-583825.35888682795</v>
      </c>
      <c r="F88" s="300">
        <f>Verokompensaatiot[[#This Row],[Korvaukset vuosilta 2010-2023, €]]+Verokompensaatiot[[#This Row],[Veromenetysten korvaus 2024]]+Verokompensaatiot[[#This Row],[Veromenetysten korvaus 2025]]</f>
        <v>1081588.8480448565</v>
      </c>
    </row>
    <row r="89" spans="1:6">
      <c r="A89" s="32">
        <v>250</v>
      </c>
      <c r="B89" s="13" t="s">
        <v>96</v>
      </c>
      <c r="C89" s="164">
        <v>443555.78617089614</v>
      </c>
      <c r="D89" s="164">
        <v>-2263.6174868858229</v>
      </c>
      <c r="E89" s="164">
        <v>-103631.22461382966</v>
      </c>
      <c r="F89" s="300">
        <f>Verokompensaatiot[[#This Row],[Korvaukset vuosilta 2010-2023, €]]+Verokompensaatiot[[#This Row],[Veromenetysten korvaus 2024]]+Verokompensaatiot[[#This Row],[Veromenetysten korvaus 2025]]</f>
        <v>337660.94407018065</v>
      </c>
    </row>
    <row r="90" spans="1:6">
      <c r="A90" s="32">
        <v>256</v>
      </c>
      <c r="B90" s="13" t="s">
        <v>97</v>
      </c>
      <c r="C90" s="164">
        <v>342078.91533434647</v>
      </c>
      <c r="D90" s="164">
        <v>1236.29663379463</v>
      </c>
      <c r="E90" s="164">
        <v>-85267.45639982952</v>
      </c>
      <c r="F90" s="300">
        <f>Verokompensaatiot[[#This Row],[Korvaukset vuosilta 2010-2023, €]]+Verokompensaatiot[[#This Row],[Veromenetysten korvaus 2024]]+Verokompensaatiot[[#This Row],[Veromenetysten korvaus 2025]]</f>
        <v>258047.75556831155</v>
      </c>
    </row>
    <row r="91" spans="1:6">
      <c r="A91" s="32">
        <v>257</v>
      </c>
      <c r="B91" s="13" t="s">
        <v>98</v>
      </c>
      <c r="C91" s="164">
        <v>4555795.7102231998</v>
      </c>
      <c r="D91" s="164">
        <v>-55408.148760037038</v>
      </c>
      <c r="E91" s="164">
        <v>-1942196.8293466647</v>
      </c>
      <c r="F91" s="300">
        <f>Verokompensaatiot[[#This Row],[Korvaukset vuosilta 2010-2023, €]]+Verokompensaatiot[[#This Row],[Veromenetysten korvaus 2024]]+Verokompensaatiot[[#This Row],[Veromenetysten korvaus 2025]]</f>
        <v>2558190.7321164976</v>
      </c>
    </row>
    <row r="92" spans="1:6">
      <c r="A92" s="32">
        <v>260</v>
      </c>
      <c r="B92" s="13" t="s">
        <v>99</v>
      </c>
      <c r="C92" s="164">
        <v>2114261.2532293946</v>
      </c>
      <c r="D92" s="164">
        <v>-9740.3396751202472</v>
      </c>
      <c r="E92" s="164">
        <v>-460116.46877199662</v>
      </c>
      <c r="F92" s="300">
        <f>Verokompensaatiot[[#This Row],[Korvaukset vuosilta 2010-2023, €]]+Verokompensaatiot[[#This Row],[Veromenetysten korvaus 2024]]+Verokompensaatiot[[#This Row],[Veromenetysten korvaus 2025]]</f>
        <v>1644404.4447822778</v>
      </c>
    </row>
    <row r="93" spans="1:6">
      <c r="A93" s="32">
        <v>261</v>
      </c>
      <c r="B93" s="13" t="s">
        <v>100</v>
      </c>
      <c r="C93" s="164">
        <v>1227445.6298316219</v>
      </c>
      <c r="D93" s="164">
        <v>-20274.40309299302</v>
      </c>
      <c r="E93" s="164">
        <v>-439833.55907499127</v>
      </c>
      <c r="F93" s="300">
        <f>Verokompensaatiot[[#This Row],[Korvaukset vuosilta 2010-2023, €]]+Verokompensaatiot[[#This Row],[Veromenetysten korvaus 2024]]+Verokompensaatiot[[#This Row],[Veromenetysten korvaus 2025]]</f>
        <v>767337.66766363767</v>
      </c>
    </row>
    <row r="94" spans="1:6">
      <c r="A94" s="32">
        <v>263</v>
      </c>
      <c r="B94" s="13" t="s">
        <v>101</v>
      </c>
      <c r="C94" s="164">
        <v>1812826.8815624351</v>
      </c>
      <c r="D94" s="164">
        <v>-6899.877684535455</v>
      </c>
      <c r="E94" s="164">
        <v>-514124.76323082682</v>
      </c>
      <c r="F94" s="300">
        <f>Verokompensaatiot[[#This Row],[Korvaukset vuosilta 2010-2023, €]]+Verokompensaatiot[[#This Row],[Veromenetysten korvaus 2024]]+Verokompensaatiot[[#This Row],[Veromenetysten korvaus 2025]]</f>
        <v>1291802.2406470729</v>
      </c>
    </row>
    <row r="95" spans="1:6">
      <c r="A95" s="32">
        <v>265</v>
      </c>
      <c r="B95" s="13" t="s">
        <v>102</v>
      </c>
      <c r="C95" s="164">
        <v>246432.62327001279</v>
      </c>
      <c r="D95" s="164">
        <v>-2238.0091572978954</v>
      </c>
      <c r="E95" s="164">
        <v>-59122.479895080869</v>
      </c>
      <c r="F95" s="300">
        <f>Verokompensaatiot[[#This Row],[Korvaukset vuosilta 2010-2023, €]]+Verokompensaatiot[[#This Row],[Veromenetysten korvaus 2024]]+Verokompensaatiot[[#This Row],[Veromenetysten korvaus 2025]]</f>
        <v>185072.13421763401</v>
      </c>
    </row>
    <row r="96" spans="1:6">
      <c r="A96" s="32">
        <v>271</v>
      </c>
      <c r="B96" s="13" t="s">
        <v>103</v>
      </c>
      <c r="C96" s="164">
        <v>1428589.0970270741</v>
      </c>
      <c r="D96" s="164">
        <v>-17662.989862291393</v>
      </c>
      <c r="E96" s="164">
        <v>-462815.45002418821</v>
      </c>
      <c r="F96" s="300">
        <f>Verokompensaatiot[[#This Row],[Korvaukset vuosilta 2010-2023, €]]+Verokompensaatiot[[#This Row],[Veromenetysten korvaus 2024]]+Verokompensaatiot[[#This Row],[Veromenetysten korvaus 2025]]</f>
        <v>948110.65714059444</v>
      </c>
    </row>
    <row r="97" spans="1:6">
      <c r="A97" s="32">
        <v>272</v>
      </c>
      <c r="B97" s="13" t="s">
        <v>104</v>
      </c>
      <c r="C97" s="164">
        <v>7554623.8483991884</v>
      </c>
      <c r="D97" s="164">
        <v>24511.701197499409</v>
      </c>
      <c r="E97" s="164">
        <v>-3328219.3879711349</v>
      </c>
      <c r="F97" s="300">
        <f>Verokompensaatiot[[#This Row],[Korvaukset vuosilta 2010-2023, €]]+Verokompensaatiot[[#This Row],[Veromenetysten korvaus 2024]]+Verokompensaatiot[[#This Row],[Veromenetysten korvaus 2025]]</f>
        <v>4250916.1616255529</v>
      </c>
    </row>
    <row r="98" spans="1:6">
      <c r="A98" s="32">
        <v>273</v>
      </c>
      <c r="B98" s="13" t="s">
        <v>105</v>
      </c>
      <c r="C98" s="164">
        <v>755593.04019599035</v>
      </c>
      <c r="D98" s="164">
        <v>-10277.745878527101</v>
      </c>
      <c r="E98" s="164">
        <v>-264498.08609951515</v>
      </c>
      <c r="F98" s="300">
        <f>Verokompensaatiot[[#This Row],[Korvaukset vuosilta 2010-2023, €]]+Verokompensaatiot[[#This Row],[Veromenetysten korvaus 2024]]+Verokompensaatiot[[#This Row],[Veromenetysten korvaus 2025]]</f>
        <v>480817.20821794815</v>
      </c>
    </row>
    <row r="99" spans="1:6">
      <c r="A99" s="32">
        <v>275</v>
      </c>
      <c r="B99" s="13" t="s">
        <v>106</v>
      </c>
      <c r="C99" s="164">
        <v>533578.40248448518</v>
      </c>
      <c r="D99" s="164">
        <v>-11265.619631695183</v>
      </c>
      <c r="E99" s="164">
        <v>-162179.09629863614</v>
      </c>
      <c r="F99" s="300">
        <f>Verokompensaatiot[[#This Row],[Korvaukset vuosilta 2010-2023, €]]+Verokompensaatiot[[#This Row],[Veromenetysten korvaus 2024]]+Verokompensaatiot[[#This Row],[Veromenetysten korvaus 2025]]</f>
        <v>360133.6865541538</v>
      </c>
    </row>
    <row r="100" spans="1:6">
      <c r="A100" s="32">
        <v>276</v>
      </c>
      <c r="B100" s="13" t="s">
        <v>107</v>
      </c>
      <c r="C100" s="164">
        <v>2027800.9120636731</v>
      </c>
      <c r="D100" s="164">
        <v>-35380.710403282828</v>
      </c>
      <c r="E100" s="164">
        <v>-1069062.9999747928</v>
      </c>
      <c r="F100" s="300">
        <f>Verokompensaatiot[[#This Row],[Korvaukset vuosilta 2010-2023, €]]+Verokompensaatiot[[#This Row],[Veromenetysten korvaus 2024]]+Verokompensaatiot[[#This Row],[Veromenetysten korvaus 2025]]</f>
        <v>923357.20168559742</v>
      </c>
    </row>
    <row r="101" spans="1:6">
      <c r="A101" s="32">
        <v>280</v>
      </c>
      <c r="B101" s="13" t="s">
        <v>108</v>
      </c>
      <c r="C101" s="164">
        <v>505168.02661108016</v>
      </c>
      <c r="D101" s="164">
        <v>-7961.2831847093257</v>
      </c>
      <c r="E101" s="164">
        <v>-152560.77615222608</v>
      </c>
      <c r="F101" s="300">
        <f>Verokompensaatiot[[#This Row],[Korvaukset vuosilta 2010-2023, €]]+Verokompensaatiot[[#This Row],[Veromenetysten korvaus 2024]]+Verokompensaatiot[[#This Row],[Veromenetysten korvaus 2025]]</f>
        <v>344645.96727414476</v>
      </c>
    </row>
    <row r="102" spans="1:6">
      <c r="A102" s="32">
        <v>284</v>
      </c>
      <c r="B102" s="13" t="s">
        <v>109</v>
      </c>
      <c r="C102" s="164">
        <v>510917.09850622597</v>
      </c>
      <c r="D102" s="164">
        <v>-3742.2347966200286</v>
      </c>
      <c r="E102" s="164">
        <v>-111684.77698179592</v>
      </c>
      <c r="F102" s="300">
        <f>Verokompensaatiot[[#This Row],[Korvaukset vuosilta 2010-2023, €]]+Verokompensaatiot[[#This Row],[Veromenetysten korvaus 2024]]+Verokompensaatiot[[#This Row],[Veromenetysten korvaus 2025]]</f>
        <v>395490.08672781003</v>
      </c>
    </row>
    <row r="103" spans="1:6">
      <c r="A103" s="32">
        <v>285</v>
      </c>
      <c r="B103" s="13" t="s">
        <v>110</v>
      </c>
      <c r="C103" s="164">
        <v>7795134.9180065207</v>
      </c>
      <c r="D103" s="164">
        <v>-19201.476207810745</v>
      </c>
      <c r="E103" s="164">
        <v>-3382028.469826526</v>
      </c>
      <c r="F103" s="300">
        <f>Verokompensaatiot[[#This Row],[Korvaukset vuosilta 2010-2023, €]]+Verokompensaatiot[[#This Row],[Veromenetysten korvaus 2024]]+Verokompensaatiot[[#This Row],[Veromenetysten korvaus 2025]]</f>
        <v>4393904.9719721843</v>
      </c>
    </row>
    <row r="104" spans="1:6">
      <c r="A104" s="32">
        <v>286</v>
      </c>
      <c r="B104" s="13" t="s">
        <v>111</v>
      </c>
      <c r="C104" s="164">
        <v>13075249.793361761</v>
      </c>
      <c r="D104" s="164">
        <v>-161472.9118287848</v>
      </c>
      <c r="E104" s="164">
        <v>-5178852.405199117</v>
      </c>
      <c r="F104" s="300">
        <f>Verokompensaatiot[[#This Row],[Korvaukset vuosilta 2010-2023, €]]+Verokompensaatiot[[#This Row],[Veromenetysten korvaus 2024]]+Verokompensaatiot[[#This Row],[Veromenetysten korvaus 2025]]</f>
        <v>7734924.4763338594</v>
      </c>
    </row>
    <row r="105" spans="1:6">
      <c r="A105" s="32">
        <v>287</v>
      </c>
      <c r="B105" s="13" t="s">
        <v>112</v>
      </c>
      <c r="C105" s="164">
        <v>1442594.627989911</v>
      </c>
      <c r="D105" s="164">
        <v>-4716.0736271819642</v>
      </c>
      <c r="E105" s="164">
        <v>-406579.53343551315</v>
      </c>
      <c r="F105" s="300">
        <f>Verokompensaatiot[[#This Row],[Korvaukset vuosilta 2010-2023, €]]+Verokompensaatiot[[#This Row],[Veromenetysten korvaus 2024]]+Verokompensaatiot[[#This Row],[Veromenetysten korvaus 2025]]</f>
        <v>1031299.0209272158</v>
      </c>
    </row>
    <row r="106" spans="1:6">
      <c r="A106" s="32">
        <v>288</v>
      </c>
      <c r="B106" s="13" t="s">
        <v>113</v>
      </c>
      <c r="C106" s="164">
        <v>1335863.8451157999</v>
      </c>
      <c r="D106" s="164">
        <v>-11030.540760471424</v>
      </c>
      <c r="E106" s="164">
        <v>-468507.11597254017</v>
      </c>
      <c r="F106" s="300">
        <f>Verokompensaatiot[[#This Row],[Korvaukset vuosilta 2010-2023, €]]+Verokompensaatiot[[#This Row],[Veromenetysten korvaus 2024]]+Verokompensaatiot[[#This Row],[Veromenetysten korvaus 2025]]</f>
        <v>856326.18838278833</v>
      </c>
    </row>
    <row r="107" spans="1:6">
      <c r="A107" s="32">
        <v>290</v>
      </c>
      <c r="B107" s="13" t="s">
        <v>114</v>
      </c>
      <c r="C107" s="164">
        <v>1696306.0079607312</v>
      </c>
      <c r="D107" s="164">
        <v>5948.0713953219629</v>
      </c>
      <c r="E107" s="164">
        <v>-496255.13602936058</v>
      </c>
      <c r="F107" s="300">
        <f>Verokompensaatiot[[#This Row],[Korvaukset vuosilta 2010-2023, €]]+Verokompensaatiot[[#This Row],[Veromenetysten korvaus 2024]]+Verokompensaatiot[[#This Row],[Veromenetysten korvaus 2025]]</f>
        <v>1205998.9433266926</v>
      </c>
    </row>
    <row r="108" spans="1:6">
      <c r="A108" s="32">
        <v>291</v>
      </c>
      <c r="B108" s="36" t="s">
        <v>115</v>
      </c>
      <c r="C108" s="164">
        <v>449064.00983901822</v>
      </c>
      <c r="D108" s="164">
        <v>-10990.4784892385</v>
      </c>
      <c r="E108" s="164">
        <v>-108328.08061591259</v>
      </c>
      <c r="F108" s="300">
        <f>Verokompensaatiot[[#This Row],[Korvaukset vuosilta 2010-2023, €]]+Verokompensaatiot[[#This Row],[Veromenetysten korvaus 2024]]+Verokompensaatiot[[#This Row],[Veromenetysten korvaus 2025]]</f>
        <v>329745.45073386712</v>
      </c>
    </row>
    <row r="109" spans="1:6">
      <c r="A109" s="32">
        <v>297</v>
      </c>
      <c r="B109" s="13" t="s">
        <v>116</v>
      </c>
      <c r="C109" s="164">
        <v>19198097.359689422</v>
      </c>
      <c r="D109" s="164">
        <v>11985.211925024974</v>
      </c>
      <c r="E109" s="164">
        <v>-7604245.3363248436</v>
      </c>
      <c r="F109" s="300">
        <f>Verokompensaatiot[[#This Row],[Korvaukset vuosilta 2010-2023, €]]+Verokompensaatiot[[#This Row],[Veromenetysten korvaus 2024]]+Verokompensaatiot[[#This Row],[Veromenetysten korvaus 2025]]</f>
        <v>11605837.235289603</v>
      </c>
    </row>
    <row r="110" spans="1:6">
      <c r="A110" s="301">
        <v>300</v>
      </c>
      <c r="B110" s="13" t="s">
        <v>117</v>
      </c>
      <c r="C110" s="164">
        <v>777950.7405079694</v>
      </c>
      <c r="D110" s="164">
        <v>-11119.314399482691</v>
      </c>
      <c r="E110" s="164">
        <v>-205627.7240302233</v>
      </c>
      <c r="F110" s="300">
        <f>Verokompensaatiot[[#This Row],[Korvaukset vuosilta 2010-2023, €]]+Verokompensaatiot[[#This Row],[Veromenetysten korvaus 2024]]+Verokompensaatiot[[#This Row],[Veromenetysten korvaus 2025]]</f>
        <v>561203.70207826339</v>
      </c>
    </row>
    <row r="111" spans="1:6">
      <c r="A111" s="32">
        <v>301</v>
      </c>
      <c r="B111" s="13" t="s">
        <v>118</v>
      </c>
      <c r="C111" s="164">
        <v>4466289.7991133537</v>
      </c>
      <c r="D111" s="164">
        <v>-35903.693450620878</v>
      </c>
      <c r="E111" s="164">
        <v>-1248381.7904625721</v>
      </c>
      <c r="F111" s="300">
        <f>Verokompensaatiot[[#This Row],[Korvaukset vuosilta 2010-2023, €]]+Verokompensaatiot[[#This Row],[Veromenetysten korvaus 2024]]+Verokompensaatiot[[#This Row],[Veromenetysten korvaus 2025]]</f>
        <v>3182004.3152001603</v>
      </c>
    </row>
    <row r="112" spans="1:6">
      <c r="A112" s="32">
        <v>304</v>
      </c>
      <c r="B112" s="13" t="s">
        <v>119</v>
      </c>
      <c r="C112" s="164">
        <v>180430.88589154329</v>
      </c>
      <c r="D112" s="164">
        <v>-5408.3362132371767</v>
      </c>
      <c r="E112" s="164">
        <v>-27817.425543898724</v>
      </c>
      <c r="F112" s="300">
        <f>Verokompensaatiot[[#This Row],[Korvaukset vuosilta 2010-2023, €]]+Verokompensaatiot[[#This Row],[Veromenetysten korvaus 2024]]+Verokompensaatiot[[#This Row],[Veromenetysten korvaus 2025]]</f>
        <v>147205.12413440741</v>
      </c>
    </row>
    <row r="113" spans="1:6">
      <c r="A113" s="32">
        <v>305</v>
      </c>
      <c r="B113" s="13" t="s">
        <v>120</v>
      </c>
      <c r="C113" s="164">
        <v>2761083.9066240285</v>
      </c>
      <c r="D113" s="164">
        <v>2089.5919143460214</v>
      </c>
      <c r="E113" s="164">
        <v>-829604.0520971464</v>
      </c>
      <c r="F113" s="300">
        <f>Verokompensaatiot[[#This Row],[Korvaukset vuosilta 2010-2023, €]]+Verokompensaatiot[[#This Row],[Veromenetysten korvaus 2024]]+Verokompensaatiot[[#This Row],[Veromenetysten korvaus 2025]]</f>
        <v>1933569.446441228</v>
      </c>
    </row>
    <row r="114" spans="1:6">
      <c r="A114" s="32">
        <v>309</v>
      </c>
      <c r="B114" s="13" t="s">
        <v>121</v>
      </c>
      <c r="C114" s="164">
        <v>1250746.467831986</v>
      </c>
      <c r="D114" s="164">
        <v>-824.43279710056822</v>
      </c>
      <c r="E114" s="164">
        <v>-369091.09431785659</v>
      </c>
      <c r="F114" s="300">
        <f>Verokompensaatiot[[#This Row],[Korvaukset vuosilta 2010-2023, €]]+Verokompensaatiot[[#This Row],[Veromenetysten korvaus 2024]]+Verokompensaatiot[[#This Row],[Veromenetysten korvaus 2025]]</f>
        <v>880830.9407170288</v>
      </c>
    </row>
    <row r="115" spans="1:6">
      <c r="A115" s="32">
        <v>312</v>
      </c>
      <c r="B115" s="13" t="s">
        <v>122</v>
      </c>
      <c r="C115" s="164">
        <v>292553.94335623621</v>
      </c>
      <c r="D115" s="164">
        <v>53.55695901758736</v>
      </c>
      <c r="E115" s="164">
        <v>-83935.441747761695</v>
      </c>
      <c r="F115" s="300">
        <f>Verokompensaatiot[[#This Row],[Korvaukset vuosilta 2010-2023, €]]+Verokompensaatiot[[#This Row],[Veromenetysten korvaus 2024]]+Verokompensaatiot[[#This Row],[Veromenetysten korvaus 2025]]</f>
        <v>208672.05856749212</v>
      </c>
    </row>
    <row r="116" spans="1:6">
      <c r="A116" s="32">
        <v>316</v>
      </c>
      <c r="B116" s="13" t="s">
        <v>123</v>
      </c>
      <c r="C116" s="164">
        <v>826735.03650535177</v>
      </c>
      <c r="D116" s="164">
        <v>-25967.998022914395</v>
      </c>
      <c r="E116" s="164">
        <v>-301663.88502838882</v>
      </c>
      <c r="F116" s="300">
        <f>Verokompensaatiot[[#This Row],[Korvaukset vuosilta 2010-2023, €]]+Verokompensaatiot[[#This Row],[Veromenetysten korvaus 2024]]+Verokompensaatiot[[#This Row],[Veromenetysten korvaus 2025]]</f>
        <v>499103.15345404856</v>
      </c>
    </row>
    <row r="117" spans="1:6">
      <c r="A117" s="32">
        <v>317</v>
      </c>
      <c r="B117" s="13" t="s">
        <v>124</v>
      </c>
      <c r="C117" s="164">
        <v>594698.73847422237</v>
      </c>
      <c r="D117" s="164">
        <v>2530.8931114943734</v>
      </c>
      <c r="E117" s="164">
        <v>-162246.14112165882</v>
      </c>
      <c r="F117" s="300">
        <f>Verokompensaatiot[[#This Row],[Korvaukset vuosilta 2010-2023, €]]+Verokompensaatiot[[#This Row],[Veromenetysten korvaus 2024]]+Verokompensaatiot[[#This Row],[Veromenetysten korvaus 2025]]</f>
        <v>434983.49046405789</v>
      </c>
    </row>
    <row r="118" spans="1:6">
      <c r="A118" s="32">
        <v>320</v>
      </c>
      <c r="B118" s="13" t="s">
        <v>125</v>
      </c>
      <c r="C118" s="164">
        <v>1333239.8237081533</v>
      </c>
      <c r="D118" s="164">
        <v>585.24565922569718</v>
      </c>
      <c r="E118" s="164">
        <v>-411640.48870797089</v>
      </c>
      <c r="F118" s="300">
        <f>Verokompensaatiot[[#This Row],[Korvaukset vuosilta 2010-2023, €]]+Verokompensaatiot[[#This Row],[Veromenetysten korvaus 2024]]+Verokompensaatiot[[#This Row],[Veromenetysten korvaus 2025]]</f>
        <v>922184.58065940812</v>
      </c>
    </row>
    <row r="119" spans="1:6">
      <c r="A119" s="32">
        <v>322</v>
      </c>
      <c r="B119" s="13" t="s">
        <v>126</v>
      </c>
      <c r="C119" s="164">
        <v>1276403.4791246401</v>
      </c>
      <c r="D119" s="164">
        <v>-11655.337492621484</v>
      </c>
      <c r="E119" s="164">
        <v>-279490.77219374548</v>
      </c>
      <c r="F119" s="300">
        <f>Verokompensaatiot[[#This Row],[Korvaukset vuosilta 2010-2023, €]]+Verokompensaatiot[[#This Row],[Veromenetysten korvaus 2024]]+Verokompensaatiot[[#This Row],[Veromenetysten korvaus 2025]]</f>
        <v>985257.36943827313</v>
      </c>
    </row>
    <row r="120" spans="1:6">
      <c r="A120" s="32">
        <v>398</v>
      </c>
      <c r="B120" s="13" t="s">
        <v>127</v>
      </c>
      <c r="C120" s="164">
        <v>18168313.588099688</v>
      </c>
      <c r="D120" s="164">
        <v>55941.783712439588</v>
      </c>
      <c r="E120" s="164">
        <v>-6887368.6998430239</v>
      </c>
      <c r="F120" s="300">
        <f>Verokompensaatiot[[#This Row],[Korvaukset vuosilta 2010-2023, €]]+Verokompensaatiot[[#This Row],[Veromenetysten korvaus 2024]]+Verokompensaatiot[[#This Row],[Veromenetysten korvaus 2025]]</f>
        <v>11336886.671969105</v>
      </c>
    </row>
    <row r="121" spans="1:6">
      <c r="A121" s="32">
        <v>399</v>
      </c>
      <c r="B121" s="13" t="s">
        <v>128</v>
      </c>
      <c r="C121" s="164">
        <v>1304513.8354180637</v>
      </c>
      <c r="D121" s="164">
        <v>-26726.277443889336</v>
      </c>
      <c r="E121" s="164">
        <v>-598559.18314417254</v>
      </c>
      <c r="F121" s="300">
        <f>Verokompensaatiot[[#This Row],[Korvaukset vuosilta 2010-2023, €]]+Verokompensaatiot[[#This Row],[Veromenetysten korvaus 2024]]+Verokompensaatiot[[#This Row],[Veromenetysten korvaus 2025]]</f>
        <v>679228.37483000185</v>
      </c>
    </row>
    <row r="122" spans="1:6">
      <c r="A122" s="32">
        <v>400</v>
      </c>
      <c r="B122" s="13" t="s">
        <v>129</v>
      </c>
      <c r="C122" s="164">
        <v>1719447.5177456574</v>
      </c>
      <c r="D122" s="164">
        <v>-14883.627261236579</v>
      </c>
      <c r="E122" s="164">
        <v>-560182.40216080914</v>
      </c>
      <c r="F122" s="300">
        <f>Verokompensaatiot[[#This Row],[Korvaukset vuosilta 2010-2023, €]]+Verokompensaatiot[[#This Row],[Veromenetysten korvaus 2024]]+Verokompensaatiot[[#This Row],[Veromenetysten korvaus 2025]]</f>
        <v>1144381.4883236117</v>
      </c>
    </row>
    <row r="123" spans="1:6">
      <c r="A123" s="32">
        <v>402</v>
      </c>
      <c r="B123" s="13" t="s">
        <v>130</v>
      </c>
      <c r="C123" s="164">
        <v>1916903.2441040576</v>
      </c>
      <c r="D123" s="164">
        <v>-21933.384514021083</v>
      </c>
      <c r="E123" s="164">
        <v>-658217.86927738599</v>
      </c>
      <c r="F123" s="300">
        <f>Verokompensaatiot[[#This Row],[Korvaukset vuosilta 2010-2023, €]]+Verokompensaatiot[[#This Row],[Veromenetysten korvaus 2024]]+Verokompensaatiot[[#This Row],[Veromenetysten korvaus 2025]]</f>
        <v>1236751.9903126506</v>
      </c>
    </row>
    <row r="124" spans="1:6">
      <c r="A124" s="32">
        <v>403</v>
      </c>
      <c r="B124" s="13" t="s">
        <v>131</v>
      </c>
      <c r="C124" s="164">
        <v>666115.83031535847</v>
      </c>
      <c r="D124" s="164">
        <v>2059.1615394292821</v>
      </c>
      <c r="E124" s="164">
        <v>-165781.33911777922</v>
      </c>
      <c r="F124" s="300">
        <f>Verokompensaatiot[[#This Row],[Korvaukset vuosilta 2010-2023, €]]+Verokompensaatiot[[#This Row],[Veromenetysten korvaus 2024]]+Verokompensaatiot[[#This Row],[Veromenetysten korvaus 2025]]</f>
        <v>502393.65273700858</v>
      </c>
    </row>
    <row r="125" spans="1:6">
      <c r="A125" s="32">
        <v>405</v>
      </c>
      <c r="B125" s="13" t="s">
        <v>132</v>
      </c>
      <c r="C125" s="164">
        <v>11543595.091604728</v>
      </c>
      <c r="D125" s="164">
        <v>-8570.6138128279563</v>
      </c>
      <c r="E125" s="164">
        <v>-4459128.5399985919</v>
      </c>
      <c r="F125" s="300">
        <f>Verokompensaatiot[[#This Row],[Korvaukset vuosilta 2010-2023, €]]+Verokompensaatiot[[#This Row],[Veromenetysten korvaus 2024]]+Verokompensaatiot[[#This Row],[Veromenetysten korvaus 2025]]</f>
        <v>7075895.9377933079</v>
      </c>
    </row>
    <row r="126" spans="1:6">
      <c r="A126" s="32">
        <v>407</v>
      </c>
      <c r="B126" s="13" t="s">
        <v>133</v>
      </c>
      <c r="C126" s="164">
        <v>646591.11122623389</v>
      </c>
      <c r="D126" s="164">
        <v>-15185.419909886448</v>
      </c>
      <c r="E126" s="164">
        <v>-163665.43585683865</v>
      </c>
      <c r="F126" s="300">
        <f>Verokompensaatiot[[#This Row],[Korvaukset vuosilta 2010-2023, €]]+Verokompensaatiot[[#This Row],[Veromenetysten korvaus 2024]]+Verokompensaatiot[[#This Row],[Veromenetysten korvaus 2025]]</f>
        <v>467740.2554595088</v>
      </c>
    </row>
    <row r="127" spans="1:6">
      <c r="A127" s="32">
        <v>408</v>
      </c>
      <c r="B127" s="13" t="s">
        <v>134</v>
      </c>
      <c r="C127" s="164">
        <v>2563558.6301105171</v>
      </c>
      <c r="D127" s="164">
        <v>-13635.482583164343</v>
      </c>
      <c r="E127" s="164">
        <v>-997351.62615231576</v>
      </c>
      <c r="F127" s="300">
        <f>Verokompensaatiot[[#This Row],[Korvaukset vuosilta 2010-2023, €]]+Verokompensaatiot[[#This Row],[Veromenetysten korvaus 2024]]+Verokompensaatiot[[#This Row],[Veromenetysten korvaus 2025]]</f>
        <v>1552571.5213750373</v>
      </c>
    </row>
    <row r="128" spans="1:6">
      <c r="A128" s="32">
        <v>410</v>
      </c>
      <c r="B128" s="13" t="s">
        <v>135</v>
      </c>
      <c r="C128" s="164">
        <v>2687907.5440148944</v>
      </c>
      <c r="D128" s="164">
        <v>-75178.73120966884</v>
      </c>
      <c r="E128" s="164">
        <v>-1439886.8712773668</v>
      </c>
      <c r="F128" s="300">
        <f>Verokompensaatiot[[#This Row],[Korvaukset vuosilta 2010-2023, €]]+Verokompensaatiot[[#This Row],[Veromenetysten korvaus 2024]]+Verokompensaatiot[[#This Row],[Veromenetysten korvaus 2025]]</f>
        <v>1172841.9415278588</v>
      </c>
    </row>
    <row r="129" spans="1:6">
      <c r="A129" s="32">
        <v>416</v>
      </c>
      <c r="B129" s="13" t="s">
        <v>136</v>
      </c>
      <c r="C129" s="164">
        <v>519339.96942344541</v>
      </c>
      <c r="D129" s="164">
        <v>-15385.331756801676</v>
      </c>
      <c r="E129" s="164">
        <v>-223910.45002521927</v>
      </c>
      <c r="F129" s="300">
        <f>Verokompensaatiot[[#This Row],[Korvaukset vuosilta 2010-2023, €]]+Verokompensaatiot[[#This Row],[Veromenetysten korvaus 2024]]+Verokompensaatiot[[#This Row],[Veromenetysten korvaus 2025]]</f>
        <v>280044.18764142448</v>
      </c>
    </row>
    <row r="130" spans="1:6">
      <c r="A130" s="32">
        <v>418</v>
      </c>
      <c r="B130" s="13" t="s">
        <v>137</v>
      </c>
      <c r="C130" s="164">
        <v>2849189.1177563285</v>
      </c>
      <c r="D130" s="164">
        <v>-50746.312573366748</v>
      </c>
      <c r="E130" s="164">
        <v>-1518810.9302370984</v>
      </c>
      <c r="F130" s="300">
        <f>Verokompensaatiot[[#This Row],[Korvaukset vuosilta 2010-2023, €]]+Verokompensaatiot[[#This Row],[Veromenetysten korvaus 2024]]+Verokompensaatiot[[#This Row],[Veromenetysten korvaus 2025]]</f>
        <v>1279631.8749458634</v>
      </c>
    </row>
    <row r="131" spans="1:6">
      <c r="A131" s="32">
        <v>420</v>
      </c>
      <c r="B131" s="36" t="s">
        <v>138</v>
      </c>
      <c r="C131" s="164">
        <v>1701813.5055073863</v>
      </c>
      <c r="D131" s="164">
        <v>-39407.458802463298</v>
      </c>
      <c r="E131" s="164">
        <v>-543619.24929421267</v>
      </c>
      <c r="F131" s="300">
        <f>Verokompensaatiot[[#This Row],[Korvaukset vuosilta 2010-2023, €]]+Verokompensaatiot[[#This Row],[Veromenetysten korvaus 2024]]+Verokompensaatiot[[#This Row],[Veromenetysten korvaus 2025]]</f>
        <v>1118786.7974107102</v>
      </c>
    </row>
    <row r="132" spans="1:6">
      <c r="A132" s="32">
        <v>421</v>
      </c>
      <c r="B132" s="13" t="s">
        <v>139</v>
      </c>
      <c r="C132" s="164">
        <v>172021.70515941572</v>
      </c>
      <c r="D132" s="164">
        <v>-853.90045146670082</v>
      </c>
      <c r="E132" s="164">
        <v>-42556.328078742219</v>
      </c>
      <c r="F132" s="300">
        <f>Verokompensaatiot[[#This Row],[Korvaukset vuosilta 2010-2023, €]]+Verokompensaatiot[[#This Row],[Veromenetysten korvaus 2024]]+Verokompensaatiot[[#This Row],[Veromenetysten korvaus 2025]]</f>
        <v>128611.47662920679</v>
      </c>
    </row>
    <row r="133" spans="1:6">
      <c r="A133" s="32">
        <v>422</v>
      </c>
      <c r="B133" s="13" t="s">
        <v>140</v>
      </c>
      <c r="C133" s="164">
        <v>2080063.5872202395</v>
      </c>
      <c r="D133" s="164">
        <v>3611.1073542919812</v>
      </c>
      <c r="E133" s="164">
        <v>-513236.15787309298</v>
      </c>
      <c r="F133" s="300">
        <f>Verokompensaatiot[[#This Row],[Korvaukset vuosilta 2010-2023, €]]+Verokompensaatiot[[#This Row],[Veromenetysten korvaus 2024]]+Verokompensaatiot[[#This Row],[Veromenetysten korvaus 2025]]</f>
        <v>1570438.5367014385</v>
      </c>
    </row>
    <row r="134" spans="1:6">
      <c r="A134" s="32">
        <v>423</v>
      </c>
      <c r="B134" s="13" t="s">
        <v>141</v>
      </c>
      <c r="C134" s="164">
        <v>2556494.2962510781</v>
      </c>
      <c r="D134" s="164">
        <v>-58439.409988994579</v>
      </c>
      <c r="E134" s="164">
        <v>-1043351.605783448</v>
      </c>
      <c r="F134" s="300">
        <f>Verokompensaatiot[[#This Row],[Korvaukset vuosilta 2010-2023, €]]+Verokompensaatiot[[#This Row],[Veromenetysten korvaus 2024]]+Verokompensaatiot[[#This Row],[Veromenetysten korvaus 2025]]</f>
        <v>1454703.2804786353</v>
      </c>
    </row>
    <row r="135" spans="1:6">
      <c r="A135" s="301">
        <v>425</v>
      </c>
      <c r="B135" s="13" t="s">
        <v>142</v>
      </c>
      <c r="C135" s="164">
        <v>1174532.8275285391</v>
      </c>
      <c r="D135" s="164">
        <v>-21878.905333113307</v>
      </c>
      <c r="E135" s="164">
        <v>-672912.58534211211</v>
      </c>
      <c r="F135" s="300">
        <f>Verokompensaatiot[[#This Row],[Korvaukset vuosilta 2010-2023, €]]+Verokompensaatiot[[#This Row],[Veromenetysten korvaus 2024]]+Verokompensaatiot[[#This Row],[Veromenetysten korvaus 2025]]</f>
        <v>479741.33685331361</v>
      </c>
    </row>
    <row r="136" spans="1:6">
      <c r="A136" s="32">
        <v>426</v>
      </c>
      <c r="B136" s="13" t="s">
        <v>143</v>
      </c>
      <c r="C136" s="164">
        <v>2102356.0885772733</v>
      </c>
      <c r="D136" s="164">
        <v>-29652.11975363563</v>
      </c>
      <c r="E136" s="164">
        <v>-850914.71585415478</v>
      </c>
      <c r="F136" s="300">
        <f>Verokompensaatiot[[#This Row],[Korvaukset vuosilta 2010-2023, €]]+Verokompensaatiot[[#This Row],[Veromenetysten korvaus 2024]]+Verokompensaatiot[[#This Row],[Veromenetysten korvaus 2025]]</f>
        <v>1221789.2529694829</v>
      </c>
    </row>
    <row r="137" spans="1:6">
      <c r="A137" s="32">
        <v>430</v>
      </c>
      <c r="B137" s="13" t="s">
        <v>144</v>
      </c>
      <c r="C137" s="164">
        <v>3269412.1650267849</v>
      </c>
      <c r="D137" s="164">
        <v>-7391.3179543889637</v>
      </c>
      <c r="E137" s="164">
        <v>-944277.30875900201</v>
      </c>
      <c r="F137" s="300">
        <f>Verokompensaatiot[[#This Row],[Korvaukset vuosilta 2010-2023, €]]+Verokompensaatiot[[#This Row],[Veromenetysten korvaus 2024]]+Verokompensaatiot[[#This Row],[Veromenetysten korvaus 2025]]</f>
        <v>2317743.5383133939</v>
      </c>
    </row>
    <row r="138" spans="1:6">
      <c r="A138" s="32">
        <v>433</v>
      </c>
      <c r="B138" s="13" t="s">
        <v>145</v>
      </c>
      <c r="C138" s="164">
        <v>1451098.149643132</v>
      </c>
      <c r="D138" s="164">
        <v>-47906.995237879455</v>
      </c>
      <c r="E138" s="164">
        <v>-542666.03027920751</v>
      </c>
      <c r="F138" s="300">
        <f>Verokompensaatiot[[#This Row],[Korvaukset vuosilta 2010-2023, €]]+Verokompensaatiot[[#This Row],[Veromenetysten korvaus 2024]]+Verokompensaatiot[[#This Row],[Veromenetysten korvaus 2025]]</f>
        <v>860525.12412604503</v>
      </c>
    </row>
    <row r="139" spans="1:6">
      <c r="A139" s="32">
        <v>434</v>
      </c>
      <c r="B139" s="13" t="s">
        <v>146</v>
      </c>
      <c r="C139" s="164">
        <v>2636959.5445576711</v>
      </c>
      <c r="D139" s="164">
        <v>-54878.757201914239</v>
      </c>
      <c r="E139" s="164">
        <v>-786385.57471454772</v>
      </c>
      <c r="F139" s="300">
        <f>Verokompensaatiot[[#This Row],[Korvaukset vuosilta 2010-2023, €]]+Verokompensaatiot[[#This Row],[Veromenetysten korvaus 2024]]+Verokompensaatiot[[#This Row],[Veromenetysten korvaus 2025]]</f>
        <v>1795695.2126412091</v>
      </c>
    </row>
    <row r="140" spans="1:6">
      <c r="A140" s="32">
        <v>435</v>
      </c>
      <c r="B140" s="13" t="s">
        <v>147</v>
      </c>
      <c r="C140" s="164">
        <v>151925.542487278</v>
      </c>
      <c r="D140" s="164">
        <v>-2150.6495243208856</v>
      </c>
      <c r="E140" s="164">
        <v>-23575.115264236912</v>
      </c>
      <c r="F140" s="300">
        <f>Verokompensaatiot[[#This Row],[Korvaukset vuosilta 2010-2023, €]]+Verokompensaatiot[[#This Row],[Veromenetysten korvaus 2024]]+Verokompensaatiot[[#This Row],[Veromenetysten korvaus 2025]]</f>
        <v>126199.77769872021</v>
      </c>
    </row>
    <row r="141" spans="1:6">
      <c r="A141" s="32">
        <v>436</v>
      </c>
      <c r="B141" s="13" t="s">
        <v>148</v>
      </c>
      <c r="C141" s="164">
        <v>323531.59803770052</v>
      </c>
      <c r="D141" s="164">
        <v>-779.09043938578634</v>
      </c>
      <c r="E141" s="164">
        <v>-127073.75357640408</v>
      </c>
      <c r="F141" s="300">
        <f>Verokompensaatiot[[#This Row],[Korvaukset vuosilta 2010-2023, €]]+Verokompensaatiot[[#This Row],[Veromenetysten korvaus 2024]]+Verokompensaatiot[[#This Row],[Veromenetysten korvaus 2025]]</f>
        <v>195678.75402191066</v>
      </c>
    </row>
    <row r="142" spans="1:6">
      <c r="A142" s="32">
        <v>440</v>
      </c>
      <c r="B142" s="13" t="s">
        <v>149</v>
      </c>
      <c r="C142" s="164">
        <v>755028.9181588958</v>
      </c>
      <c r="D142" s="164">
        <v>3082.2753868955979</v>
      </c>
      <c r="E142" s="164">
        <v>-358681.29079777119</v>
      </c>
      <c r="F142" s="300">
        <f>Verokompensaatiot[[#This Row],[Korvaukset vuosilta 2010-2023, €]]+Verokompensaatiot[[#This Row],[Veromenetysten korvaus 2024]]+Verokompensaatiot[[#This Row],[Veromenetysten korvaus 2025]]</f>
        <v>399429.90274802025</v>
      </c>
    </row>
    <row r="143" spans="1:6">
      <c r="A143" s="32">
        <v>441</v>
      </c>
      <c r="B143" s="13" t="s">
        <v>150</v>
      </c>
      <c r="C143" s="164">
        <v>894431.67918291781</v>
      </c>
      <c r="D143" s="164">
        <v>-18766.248921551349</v>
      </c>
      <c r="E143" s="164">
        <v>-258004.98794179494</v>
      </c>
      <c r="F143" s="300">
        <f>Verokompensaatiot[[#This Row],[Korvaukset vuosilta 2010-2023, €]]+Verokompensaatiot[[#This Row],[Veromenetysten korvaus 2024]]+Verokompensaatiot[[#This Row],[Veromenetysten korvaus 2025]]</f>
        <v>617660.44231957151</v>
      </c>
    </row>
    <row r="144" spans="1:6">
      <c r="A144" s="32">
        <v>444</v>
      </c>
      <c r="B144" s="13" t="s">
        <v>151</v>
      </c>
      <c r="C144" s="164">
        <v>7224175.9161620364</v>
      </c>
      <c r="D144" s="164">
        <v>-200755.5947090371</v>
      </c>
      <c r="E144" s="164">
        <v>-2624771.543478833</v>
      </c>
      <c r="F144" s="300">
        <f>Verokompensaatiot[[#This Row],[Korvaukset vuosilta 2010-2023, €]]+Verokompensaatiot[[#This Row],[Veromenetysten korvaus 2024]]+Verokompensaatiot[[#This Row],[Veromenetysten korvaus 2025]]</f>
        <v>4398648.777974166</v>
      </c>
    </row>
    <row r="145" spans="1:6">
      <c r="A145" s="32">
        <v>445</v>
      </c>
      <c r="B145" s="13" t="s">
        <v>152</v>
      </c>
      <c r="C145" s="164">
        <v>2386424.5004629074</v>
      </c>
      <c r="D145" s="164">
        <v>-27794.871059318764</v>
      </c>
      <c r="E145" s="164">
        <v>-840519.75621793047</v>
      </c>
      <c r="F145" s="300">
        <f>Verokompensaatiot[[#This Row],[Korvaukset vuosilta 2010-2023, €]]+Verokompensaatiot[[#This Row],[Veromenetysten korvaus 2024]]+Verokompensaatiot[[#This Row],[Veromenetysten korvaus 2025]]</f>
        <v>1518109.8731856584</v>
      </c>
    </row>
    <row r="146" spans="1:6">
      <c r="A146" s="32">
        <v>475</v>
      </c>
      <c r="B146" s="13" t="s">
        <v>153</v>
      </c>
      <c r="C146" s="164">
        <v>1105585.6937992242</v>
      </c>
      <c r="D146" s="164">
        <v>-16037.007773504845</v>
      </c>
      <c r="E146" s="164">
        <v>-401570.357757119</v>
      </c>
      <c r="F146" s="300">
        <f>Verokompensaatiot[[#This Row],[Korvaukset vuosilta 2010-2023, €]]+Verokompensaatiot[[#This Row],[Veromenetysten korvaus 2024]]+Verokompensaatiot[[#This Row],[Veromenetysten korvaus 2025]]</f>
        <v>687978.32826860039</v>
      </c>
    </row>
    <row r="147" spans="1:6">
      <c r="A147" s="32">
        <v>480</v>
      </c>
      <c r="B147" s="13" t="s">
        <v>154</v>
      </c>
      <c r="C147" s="164">
        <v>434726.18160574732</v>
      </c>
      <c r="D147" s="164">
        <v>-9697.4929002840217</v>
      </c>
      <c r="E147" s="164">
        <v>-126055.30400896302</v>
      </c>
      <c r="F147" s="300">
        <f>Verokompensaatiot[[#This Row],[Korvaukset vuosilta 2010-2023, €]]+Verokompensaatiot[[#This Row],[Veromenetysten korvaus 2024]]+Verokompensaatiot[[#This Row],[Veromenetysten korvaus 2025]]</f>
        <v>298973.38469650026</v>
      </c>
    </row>
    <row r="148" spans="1:6">
      <c r="A148" s="32">
        <v>481</v>
      </c>
      <c r="B148" s="13" t="s">
        <v>155</v>
      </c>
      <c r="C148" s="164">
        <v>1262495.7103223628</v>
      </c>
      <c r="D148" s="164">
        <v>-52659.810889242472</v>
      </c>
      <c r="E148" s="164">
        <v>-631946.00835037814</v>
      </c>
      <c r="F148" s="300">
        <f>Verokompensaatiot[[#This Row],[Korvaukset vuosilta 2010-2023, €]]+Verokompensaatiot[[#This Row],[Veromenetysten korvaus 2024]]+Verokompensaatiot[[#This Row],[Veromenetysten korvaus 2025]]</f>
        <v>577889.89108274225</v>
      </c>
    </row>
    <row r="149" spans="1:6">
      <c r="A149" s="32">
        <v>483</v>
      </c>
      <c r="B149" s="13" t="s">
        <v>156</v>
      </c>
      <c r="C149" s="164">
        <v>241773.01546562789</v>
      </c>
      <c r="D149" s="164">
        <v>-1837.5395010846091</v>
      </c>
      <c r="E149" s="164">
        <v>-74059.381360288011</v>
      </c>
      <c r="F149" s="300">
        <f>Verokompensaatiot[[#This Row],[Korvaukset vuosilta 2010-2023, €]]+Verokompensaatiot[[#This Row],[Veromenetysten korvaus 2024]]+Verokompensaatiot[[#This Row],[Veromenetysten korvaus 2025]]</f>
        <v>165876.09460425528</v>
      </c>
    </row>
    <row r="150" spans="1:6">
      <c r="A150" s="32">
        <v>484</v>
      </c>
      <c r="B150" s="13" t="s">
        <v>157</v>
      </c>
      <c r="C150" s="164">
        <v>607771.47088380624</v>
      </c>
      <c r="D150" s="164">
        <v>-4137.1949099022768</v>
      </c>
      <c r="E150" s="164">
        <v>-148650.21832827365</v>
      </c>
      <c r="F150" s="300">
        <f>Verokompensaatiot[[#This Row],[Korvaukset vuosilta 2010-2023, €]]+Verokompensaatiot[[#This Row],[Veromenetysten korvaus 2024]]+Verokompensaatiot[[#This Row],[Veromenetysten korvaus 2025]]</f>
        <v>454984.05764563032</v>
      </c>
    </row>
    <row r="151" spans="1:6">
      <c r="A151" s="32">
        <v>489</v>
      </c>
      <c r="B151" s="13" t="s">
        <v>158</v>
      </c>
      <c r="C151" s="164">
        <v>426527.30960735935</v>
      </c>
      <c r="D151" s="164">
        <v>-5361.047714705127</v>
      </c>
      <c r="E151" s="164">
        <v>-93210.074724777776</v>
      </c>
      <c r="F151" s="300">
        <f>Verokompensaatiot[[#This Row],[Korvaukset vuosilta 2010-2023, €]]+Verokompensaatiot[[#This Row],[Veromenetysten korvaus 2024]]+Verokompensaatiot[[#This Row],[Veromenetysten korvaus 2025]]</f>
        <v>327956.18716787646</v>
      </c>
    </row>
    <row r="152" spans="1:6">
      <c r="A152" s="32">
        <v>491</v>
      </c>
      <c r="B152" s="13" t="s">
        <v>159</v>
      </c>
      <c r="C152" s="164">
        <v>8906554.4027713686</v>
      </c>
      <c r="D152" s="164">
        <v>-15286.821555205614</v>
      </c>
      <c r="E152" s="164">
        <v>-3773385.5353679117</v>
      </c>
      <c r="F152" s="300">
        <f>Verokompensaatiot[[#This Row],[Korvaukset vuosilta 2010-2023, €]]+Verokompensaatiot[[#This Row],[Veromenetysten korvaus 2024]]+Verokompensaatiot[[#This Row],[Veromenetysten korvaus 2025]]</f>
        <v>5117882.0458482523</v>
      </c>
    </row>
    <row r="153" spans="1:6">
      <c r="A153" s="32">
        <v>494</v>
      </c>
      <c r="B153" s="13" t="s">
        <v>160</v>
      </c>
      <c r="C153" s="164">
        <v>1357802.8644019193</v>
      </c>
      <c r="D153" s="164">
        <v>-20430.883487994804</v>
      </c>
      <c r="E153" s="164">
        <v>-618756.19691143371</v>
      </c>
      <c r="F153" s="300">
        <f>Verokompensaatiot[[#This Row],[Korvaukset vuosilta 2010-2023, €]]+Verokompensaatiot[[#This Row],[Veromenetysten korvaus 2024]]+Verokompensaatiot[[#This Row],[Veromenetysten korvaus 2025]]</f>
        <v>718615.78400249081</v>
      </c>
    </row>
    <row r="154" spans="1:6">
      <c r="A154" s="32">
        <v>495</v>
      </c>
      <c r="B154" s="13" t="s">
        <v>161</v>
      </c>
      <c r="C154" s="164">
        <v>332971.06142243801</v>
      </c>
      <c r="D154" s="164">
        <v>-4686.876623035384</v>
      </c>
      <c r="E154" s="164">
        <v>-90450.92659048058</v>
      </c>
      <c r="F154" s="300">
        <f>Verokompensaatiot[[#This Row],[Korvaukset vuosilta 2010-2023, €]]+Verokompensaatiot[[#This Row],[Veromenetysten korvaus 2024]]+Verokompensaatiot[[#This Row],[Veromenetysten korvaus 2025]]</f>
        <v>237833.25820892202</v>
      </c>
    </row>
    <row r="155" spans="1:6">
      <c r="A155" s="32">
        <v>498</v>
      </c>
      <c r="B155" s="13" t="s">
        <v>162</v>
      </c>
      <c r="C155" s="164">
        <v>444350.04603458964</v>
      </c>
      <c r="D155" s="164">
        <v>-4769.4856205083097</v>
      </c>
      <c r="E155" s="164">
        <v>-176826.95662348132</v>
      </c>
      <c r="F155" s="300">
        <f>Verokompensaatiot[[#This Row],[Korvaukset vuosilta 2010-2023, €]]+Verokompensaatiot[[#This Row],[Veromenetysten korvaus 2024]]+Verokompensaatiot[[#This Row],[Veromenetysten korvaus 2025]]</f>
        <v>262753.60379059997</v>
      </c>
    </row>
    <row r="156" spans="1:6">
      <c r="A156" s="32">
        <v>499</v>
      </c>
      <c r="B156" s="13" t="s">
        <v>163</v>
      </c>
      <c r="C156" s="164">
        <v>2855979.3655998912</v>
      </c>
      <c r="D156" s="164">
        <v>-31875.361735449093</v>
      </c>
      <c r="E156" s="164">
        <v>-1336683.144864318</v>
      </c>
      <c r="F156" s="300">
        <f>Verokompensaatiot[[#This Row],[Korvaukset vuosilta 2010-2023, €]]+Verokompensaatiot[[#This Row],[Veromenetysten korvaus 2024]]+Verokompensaatiot[[#This Row],[Veromenetysten korvaus 2025]]</f>
        <v>1487420.859000124</v>
      </c>
    </row>
    <row r="157" spans="1:6">
      <c r="A157" s="32">
        <v>500</v>
      </c>
      <c r="B157" s="13" t="s">
        <v>164</v>
      </c>
      <c r="C157" s="164">
        <v>1064618.4075359539</v>
      </c>
      <c r="D157" s="164">
        <v>-31843.846745599138</v>
      </c>
      <c r="E157" s="164">
        <v>-528615.99904882908</v>
      </c>
      <c r="F157" s="300">
        <f>Verokompensaatiot[[#This Row],[Korvaukset vuosilta 2010-2023, €]]+Verokompensaatiot[[#This Row],[Veromenetysten korvaus 2024]]+Verokompensaatiot[[#This Row],[Veromenetysten korvaus 2025]]</f>
        <v>504158.56174152566</v>
      </c>
    </row>
    <row r="158" spans="1:6">
      <c r="A158" s="32">
        <v>503</v>
      </c>
      <c r="B158" s="13" t="s">
        <v>165</v>
      </c>
      <c r="C158" s="164">
        <v>1432956.3497235579</v>
      </c>
      <c r="D158" s="164">
        <v>-44648.210936948133</v>
      </c>
      <c r="E158" s="164">
        <v>-565356.78695681808</v>
      </c>
      <c r="F158" s="300">
        <f>Verokompensaatiot[[#This Row],[Korvaukset vuosilta 2010-2023, €]]+Verokompensaatiot[[#This Row],[Veromenetysten korvaus 2024]]+Verokompensaatiot[[#This Row],[Veromenetysten korvaus 2025]]</f>
        <v>822951.35182979167</v>
      </c>
    </row>
    <row r="159" spans="1:6">
      <c r="A159" s="32">
        <v>504</v>
      </c>
      <c r="B159" s="13" t="s">
        <v>166</v>
      </c>
      <c r="C159" s="164">
        <v>394743.52792224649</v>
      </c>
      <c r="D159" s="164">
        <v>-12790.221832791169</v>
      </c>
      <c r="E159" s="164">
        <v>-141771.19917272788</v>
      </c>
      <c r="F159" s="300">
        <f>Verokompensaatiot[[#This Row],[Korvaukset vuosilta 2010-2023, €]]+Verokompensaatiot[[#This Row],[Veromenetysten korvaus 2024]]+Verokompensaatiot[[#This Row],[Veromenetysten korvaus 2025]]</f>
        <v>240182.10691672744</v>
      </c>
    </row>
    <row r="160" spans="1:6">
      <c r="A160" s="32">
        <v>505</v>
      </c>
      <c r="B160" s="13" t="s">
        <v>167</v>
      </c>
      <c r="C160" s="164">
        <v>3199902.0564645678</v>
      </c>
      <c r="D160" s="164">
        <v>-122787.08451824253</v>
      </c>
      <c r="E160" s="164">
        <v>-1352621.107416861</v>
      </c>
      <c r="F160" s="300">
        <f>Verokompensaatiot[[#This Row],[Korvaukset vuosilta 2010-2023, €]]+Verokompensaatiot[[#This Row],[Veromenetysten korvaus 2024]]+Verokompensaatiot[[#This Row],[Veromenetysten korvaus 2025]]</f>
        <v>1724493.8645294642</v>
      </c>
    </row>
    <row r="161" spans="1:6">
      <c r="A161" s="32">
        <v>507</v>
      </c>
      <c r="B161" s="13" t="s">
        <v>168</v>
      </c>
      <c r="C161" s="164">
        <v>1114235.8704170487</v>
      </c>
      <c r="D161" s="164">
        <v>-7691.944713630518</v>
      </c>
      <c r="E161" s="164">
        <v>-285061.02417345875</v>
      </c>
      <c r="F161" s="300">
        <f>Verokompensaatiot[[#This Row],[Korvaukset vuosilta 2010-2023, €]]+Verokompensaatiot[[#This Row],[Veromenetysten korvaus 2024]]+Verokompensaatiot[[#This Row],[Veromenetysten korvaus 2025]]</f>
        <v>821482.9015299594</v>
      </c>
    </row>
    <row r="162" spans="1:6">
      <c r="A162" s="32">
        <v>508</v>
      </c>
      <c r="B162" s="13" t="s">
        <v>169</v>
      </c>
      <c r="C162" s="164">
        <v>1678386.8842173759</v>
      </c>
      <c r="D162" s="164">
        <v>-16030.781562754757</v>
      </c>
      <c r="E162" s="164">
        <v>-634041.23555472423</v>
      </c>
      <c r="F162" s="300">
        <f>Verokompensaatiot[[#This Row],[Korvaukset vuosilta 2010-2023, €]]+Verokompensaatiot[[#This Row],[Veromenetysten korvaus 2024]]+Verokompensaatiot[[#This Row],[Veromenetysten korvaus 2025]]</f>
        <v>1028314.867099897</v>
      </c>
    </row>
    <row r="163" spans="1:6">
      <c r="A163" s="32">
        <v>529</v>
      </c>
      <c r="B163" s="13" t="s">
        <v>170</v>
      </c>
      <c r="C163" s="164">
        <v>2330134.0337805543</v>
      </c>
      <c r="D163" s="164">
        <v>-28491.15669390139</v>
      </c>
      <c r="E163" s="164">
        <v>-850448.69426109712</v>
      </c>
      <c r="F163" s="300">
        <f>Verokompensaatiot[[#This Row],[Korvaukset vuosilta 2010-2023, €]]+Verokompensaatiot[[#This Row],[Veromenetysten korvaus 2024]]+Verokompensaatiot[[#This Row],[Veromenetysten korvaus 2025]]</f>
        <v>1451194.1828255558</v>
      </c>
    </row>
    <row r="164" spans="1:6">
      <c r="A164" s="32">
        <v>531</v>
      </c>
      <c r="B164" s="13" t="s">
        <v>171</v>
      </c>
      <c r="C164" s="164">
        <v>894507.61685186625</v>
      </c>
      <c r="D164" s="164">
        <v>-15378.816319427751</v>
      </c>
      <c r="E164" s="164">
        <v>-346426.57096662064</v>
      </c>
      <c r="F164" s="300">
        <f>Verokompensaatiot[[#This Row],[Korvaukset vuosilta 2010-2023, €]]+Verokompensaatiot[[#This Row],[Veromenetysten korvaus 2024]]+Verokompensaatiot[[#This Row],[Veromenetysten korvaus 2025]]</f>
        <v>532702.22956581786</v>
      </c>
    </row>
    <row r="165" spans="1:6">
      <c r="A165" s="32">
        <v>535</v>
      </c>
      <c r="B165" s="13" t="s">
        <v>172</v>
      </c>
      <c r="C165" s="164">
        <v>1996875.6162195159</v>
      </c>
      <c r="D165" s="164">
        <v>18.435731047280569</v>
      </c>
      <c r="E165" s="164">
        <v>-805817.43466072204</v>
      </c>
      <c r="F165" s="300">
        <f>Verokompensaatiot[[#This Row],[Korvaukset vuosilta 2010-2023, €]]+Verokompensaatiot[[#This Row],[Veromenetysten korvaus 2024]]+Verokompensaatiot[[#This Row],[Veromenetysten korvaus 2025]]</f>
        <v>1191076.6172898412</v>
      </c>
    </row>
    <row r="166" spans="1:6">
      <c r="A166" s="32">
        <v>536</v>
      </c>
      <c r="B166" s="13" t="s">
        <v>173</v>
      </c>
      <c r="C166" s="164">
        <v>4319910.8290714007</v>
      </c>
      <c r="D166" s="164">
        <v>-76116.852190959442</v>
      </c>
      <c r="E166" s="164">
        <v>-2259238.0436436241</v>
      </c>
      <c r="F166" s="300">
        <f>Verokompensaatiot[[#This Row],[Korvaukset vuosilta 2010-2023, €]]+Verokompensaatiot[[#This Row],[Veromenetysten korvaus 2024]]+Verokompensaatiot[[#This Row],[Veromenetysten korvaus 2025]]</f>
        <v>1984555.9332368174</v>
      </c>
    </row>
    <row r="167" spans="1:6">
      <c r="A167" s="32">
        <v>538</v>
      </c>
      <c r="B167" s="13" t="s">
        <v>174</v>
      </c>
      <c r="C167" s="164">
        <v>803528.66794922063</v>
      </c>
      <c r="D167" s="164">
        <v>-25039.86487755222</v>
      </c>
      <c r="E167" s="164">
        <v>-353614.78172242601</v>
      </c>
      <c r="F167" s="300">
        <f>Verokompensaatiot[[#This Row],[Korvaukset vuosilta 2010-2023, €]]+Verokompensaatiot[[#This Row],[Veromenetysten korvaus 2024]]+Verokompensaatiot[[#This Row],[Veromenetysten korvaus 2025]]</f>
        <v>424874.02134924236</v>
      </c>
    </row>
    <row r="168" spans="1:6">
      <c r="A168" s="32">
        <v>541</v>
      </c>
      <c r="B168" s="13" t="s">
        <v>175</v>
      </c>
      <c r="C168" s="164">
        <v>2019208.9214752344</v>
      </c>
      <c r="D168" s="164">
        <v>11408.968739092546</v>
      </c>
      <c r="E168" s="164">
        <v>-568595.07183605514</v>
      </c>
      <c r="F168" s="300">
        <f>Verokompensaatiot[[#This Row],[Korvaukset vuosilta 2010-2023, €]]+Verokompensaatiot[[#This Row],[Veromenetysten korvaus 2024]]+Verokompensaatiot[[#This Row],[Veromenetysten korvaus 2025]]</f>
        <v>1462022.818378272</v>
      </c>
    </row>
    <row r="169" spans="1:6">
      <c r="A169" s="32">
        <v>543</v>
      </c>
      <c r="B169" s="13" t="s">
        <v>176</v>
      </c>
      <c r="C169" s="164">
        <v>5312251.0396160055</v>
      </c>
      <c r="D169" s="164">
        <v>-168028.78775858571</v>
      </c>
      <c r="E169" s="164">
        <v>-2487489.6108216261</v>
      </c>
      <c r="F169" s="300">
        <f>Verokompensaatiot[[#This Row],[Korvaukset vuosilta 2010-2023, €]]+Verokompensaatiot[[#This Row],[Veromenetysten korvaus 2024]]+Verokompensaatiot[[#This Row],[Veromenetysten korvaus 2025]]</f>
        <v>2656732.6410357933</v>
      </c>
    </row>
    <row r="170" spans="1:6">
      <c r="A170" s="32">
        <v>545</v>
      </c>
      <c r="B170" s="13" t="s">
        <v>177</v>
      </c>
      <c r="C170" s="164">
        <v>2169459.5671574911</v>
      </c>
      <c r="D170" s="164">
        <v>3930.8259780094231</v>
      </c>
      <c r="E170" s="164">
        <v>-661706.61467812245</v>
      </c>
      <c r="F170" s="300">
        <f>Verokompensaatiot[[#This Row],[Korvaukset vuosilta 2010-2023, €]]+Verokompensaatiot[[#This Row],[Veromenetysten korvaus 2024]]+Verokompensaatiot[[#This Row],[Veromenetysten korvaus 2025]]</f>
        <v>1511683.778457378</v>
      </c>
    </row>
    <row r="171" spans="1:6">
      <c r="A171" s="32">
        <v>560</v>
      </c>
      <c r="B171" s="13" t="s">
        <v>178</v>
      </c>
      <c r="C171" s="164">
        <v>2807763.6069482872</v>
      </c>
      <c r="D171" s="164">
        <v>-55272.018292399785</v>
      </c>
      <c r="E171" s="164">
        <v>-1027219.5364199601</v>
      </c>
      <c r="F171" s="300">
        <f>Verokompensaatiot[[#This Row],[Korvaukset vuosilta 2010-2023, €]]+Verokompensaatiot[[#This Row],[Veromenetysten korvaus 2024]]+Verokompensaatiot[[#This Row],[Veromenetysten korvaus 2025]]</f>
        <v>1725272.0522359274</v>
      </c>
    </row>
    <row r="172" spans="1:6">
      <c r="A172" s="32">
        <v>561</v>
      </c>
      <c r="B172" s="13" t="s">
        <v>179</v>
      </c>
      <c r="C172" s="164">
        <v>342227.01655398041</v>
      </c>
      <c r="D172" s="164">
        <v>-2142.8697999763526</v>
      </c>
      <c r="E172" s="164">
        <v>-83980.070571425895</v>
      </c>
      <c r="F172" s="300">
        <f>Verokompensaatiot[[#This Row],[Korvaukset vuosilta 2010-2023, €]]+Verokompensaatiot[[#This Row],[Veromenetysten korvaus 2024]]+Verokompensaatiot[[#This Row],[Veromenetysten korvaus 2025]]</f>
        <v>256104.07618257817</v>
      </c>
    </row>
    <row r="173" spans="1:6">
      <c r="A173" s="32">
        <v>562</v>
      </c>
      <c r="B173" s="13" t="s">
        <v>180</v>
      </c>
      <c r="C173" s="164">
        <v>1707001.9478384415</v>
      </c>
      <c r="D173" s="164">
        <v>-48276.357160384076</v>
      </c>
      <c r="E173" s="164">
        <v>-598663.32758610649</v>
      </c>
      <c r="F173" s="300">
        <f>Verokompensaatiot[[#This Row],[Korvaukset vuosilta 2010-2023, €]]+Verokompensaatiot[[#This Row],[Veromenetysten korvaus 2024]]+Verokompensaatiot[[#This Row],[Veromenetysten korvaus 2025]]</f>
        <v>1060062.2630919509</v>
      </c>
    </row>
    <row r="174" spans="1:6">
      <c r="A174" s="32">
        <v>563</v>
      </c>
      <c r="B174" s="13" t="s">
        <v>181</v>
      </c>
      <c r="C174" s="164">
        <v>1307424.8951470982</v>
      </c>
      <c r="D174" s="164">
        <v>-10251.256780378637</v>
      </c>
      <c r="E174" s="164">
        <v>-538569.51447258855</v>
      </c>
      <c r="F174" s="300">
        <f>Verokompensaatiot[[#This Row],[Korvaukset vuosilta 2010-2023, €]]+Verokompensaatiot[[#This Row],[Veromenetysten korvaus 2024]]+Verokompensaatiot[[#This Row],[Veromenetysten korvaus 2025]]</f>
        <v>758604.12389413116</v>
      </c>
    </row>
    <row r="175" spans="1:6">
      <c r="A175" s="32">
        <v>564</v>
      </c>
      <c r="B175" s="13" t="s">
        <v>182</v>
      </c>
      <c r="C175" s="164">
        <v>29128493.766056716</v>
      </c>
      <c r="D175" s="164">
        <v>270795.43636430189</v>
      </c>
      <c r="E175" s="164">
        <v>-12283195.748643389</v>
      </c>
      <c r="F175" s="300">
        <f>Verokompensaatiot[[#This Row],[Korvaukset vuosilta 2010-2023, €]]+Verokompensaatiot[[#This Row],[Veromenetysten korvaus 2024]]+Verokompensaatiot[[#This Row],[Veromenetysten korvaus 2025]]</f>
        <v>17116093.453777626</v>
      </c>
    </row>
    <row r="176" spans="1:6">
      <c r="A176" s="32">
        <v>576</v>
      </c>
      <c r="B176" s="13" t="s">
        <v>183</v>
      </c>
      <c r="C176" s="164">
        <v>626308.25840280904</v>
      </c>
      <c r="D176" s="164">
        <v>-10515.611798564159</v>
      </c>
      <c r="E176" s="164">
        <v>-130650.12761243171</v>
      </c>
      <c r="F176" s="300">
        <f>Verokompensaatiot[[#This Row],[Korvaukset vuosilta 2010-2023, €]]+Verokompensaatiot[[#This Row],[Veromenetysten korvaus 2024]]+Verokompensaatiot[[#This Row],[Veromenetysten korvaus 2025]]</f>
        <v>485142.51899181312</v>
      </c>
    </row>
    <row r="177" spans="1:6">
      <c r="A177" s="32">
        <v>577</v>
      </c>
      <c r="B177" s="13" t="s">
        <v>184</v>
      </c>
      <c r="C177" s="164">
        <v>1619753.7953696446</v>
      </c>
      <c r="D177" s="164">
        <v>-46012.36310920972</v>
      </c>
      <c r="E177" s="164">
        <v>-733817.12946324435</v>
      </c>
      <c r="F177" s="300">
        <f>Verokompensaatiot[[#This Row],[Korvaukset vuosilta 2010-2023, €]]+Verokompensaatiot[[#This Row],[Veromenetysten korvaus 2024]]+Verokompensaatiot[[#This Row],[Veromenetysten korvaus 2025]]</f>
        <v>839924.3027971905</v>
      </c>
    </row>
    <row r="178" spans="1:6">
      <c r="A178" s="32">
        <v>578</v>
      </c>
      <c r="B178" s="13" t="s">
        <v>185</v>
      </c>
      <c r="C178" s="164">
        <v>676025.78812674666</v>
      </c>
      <c r="D178" s="164">
        <v>-11829.880050511338</v>
      </c>
      <c r="E178" s="164">
        <v>-200067.34442075956</v>
      </c>
      <c r="F178" s="300">
        <f>Verokompensaatiot[[#This Row],[Korvaukset vuosilta 2010-2023, €]]+Verokompensaatiot[[#This Row],[Veromenetysten korvaus 2024]]+Verokompensaatiot[[#This Row],[Veromenetysten korvaus 2025]]</f>
        <v>464128.56365547574</v>
      </c>
    </row>
    <row r="179" spans="1:6">
      <c r="A179" s="32">
        <v>580</v>
      </c>
      <c r="B179" s="13" t="s">
        <v>186</v>
      </c>
      <c r="C179" s="164">
        <v>1033549.7310828343</v>
      </c>
      <c r="D179" s="164">
        <v>-8083.8061279057129</v>
      </c>
      <c r="E179" s="164">
        <v>-263531.69534431549</v>
      </c>
      <c r="F179" s="300">
        <f>Verokompensaatiot[[#This Row],[Korvaukset vuosilta 2010-2023, €]]+Verokompensaatiot[[#This Row],[Veromenetysten korvaus 2024]]+Verokompensaatiot[[#This Row],[Veromenetysten korvaus 2025]]</f>
        <v>761934.22961061308</v>
      </c>
    </row>
    <row r="180" spans="1:6">
      <c r="A180" s="32">
        <v>581</v>
      </c>
      <c r="B180" s="13" t="s">
        <v>187</v>
      </c>
      <c r="C180" s="164">
        <v>1238202.8315967713</v>
      </c>
      <c r="D180" s="164">
        <v>-13725.337588587807</v>
      </c>
      <c r="E180" s="164">
        <v>-419230.94940207107</v>
      </c>
      <c r="F180" s="300">
        <f>Verokompensaatiot[[#This Row],[Korvaukset vuosilta 2010-2023, €]]+Verokompensaatiot[[#This Row],[Veromenetysten korvaus 2024]]+Verokompensaatiot[[#This Row],[Veromenetysten korvaus 2025]]</f>
        <v>805246.54460611241</v>
      </c>
    </row>
    <row r="181" spans="1:6">
      <c r="A181" s="32">
        <v>583</v>
      </c>
      <c r="B181" s="13" t="s">
        <v>188</v>
      </c>
      <c r="C181" s="164">
        <v>191959.12275273213</v>
      </c>
      <c r="D181" s="164">
        <v>-441.03565210003239</v>
      </c>
      <c r="E181" s="164">
        <v>-60697.965010053107</v>
      </c>
      <c r="F181" s="300">
        <f>Verokompensaatiot[[#This Row],[Korvaukset vuosilta 2010-2023, €]]+Verokompensaatiot[[#This Row],[Veromenetysten korvaus 2024]]+Verokompensaatiot[[#This Row],[Veromenetysten korvaus 2025]]</f>
        <v>130820.12209057901</v>
      </c>
    </row>
    <row r="182" spans="1:6">
      <c r="A182" s="32">
        <v>584</v>
      </c>
      <c r="B182" s="13" t="s">
        <v>189</v>
      </c>
      <c r="C182" s="164">
        <v>544264.87358014286</v>
      </c>
      <c r="D182" s="164">
        <v>3381.729380000952</v>
      </c>
      <c r="E182" s="164">
        <v>-162845.94696495103</v>
      </c>
      <c r="F182" s="300">
        <f>Verokompensaatiot[[#This Row],[Korvaukset vuosilta 2010-2023, €]]+Verokompensaatiot[[#This Row],[Veromenetysten korvaus 2024]]+Verokompensaatiot[[#This Row],[Veromenetysten korvaus 2025]]</f>
        <v>384800.65599519282</v>
      </c>
    </row>
    <row r="183" spans="1:6">
      <c r="A183" s="32">
        <v>588</v>
      </c>
      <c r="B183" s="13" t="s">
        <v>190</v>
      </c>
      <c r="C183" s="164">
        <v>384234.18517887965</v>
      </c>
      <c r="D183" s="164">
        <v>-4095.7106915776726</v>
      </c>
      <c r="E183" s="164">
        <v>-85279.701068678914</v>
      </c>
      <c r="F183" s="300">
        <f>Verokompensaatiot[[#This Row],[Korvaukset vuosilta 2010-2023, €]]+Verokompensaatiot[[#This Row],[Veromenetysten korvaus 2024]]+Verokompensaatiot[[#This Row],[Veromenetysten korvaus 2025]]</f>
        <v>294858.77341862302</v>
      </c>
    </row>
    <row r="184" spans="1:6">
      <c r="A184" s="32">
        <v>592</v>
      </c>
      <c r="B184" s="13" t="s">
        <v>191</v>
      </c>
      <c r="C184" s="164">
        <v>694864.69179638941</v>
      </c>
      <c r="D184" s="164">
        <v>-21109.301594785644</v>
      </c>
      <c r="E184" s="164">
        <v>-278722.72304571583</v>
      </c>
      <c r="F184" s="300">
        <f>Verokompensaatiot[[#This Row],[Korvaukset vuosilta 2010-2023, €]]+Verokompensaatiot[[#This Row],[Veromenetysten korvaus 2024]]+Verokompensaatiot[[#This Row],[Veromenetysten korvaus 2025]]</f>
        <v>395032.66715588793</v>
      </c>
    </row>
    <row r="185" spans="1:6">
      <c r="A185" s="32">
        <v>593</v>
      </c>
      <c r="B185" s="13" t="s">
        <v>192</v>
      </c>
      <c r="C185" s="164">
        <v>3330180.2490723021</v>
      </c>
      <c r="D185" s="164">
        <v>-7996.8048801974837</v>
      </c>
      <c r="E185" s="164">
        <v>-1153437.4298405629</v>
      </c>
      <c r="F185" s="300">
        <f>Verokompensaatiot[[#This Row],[Korvaukset vuosilta 2010-2023, €]]+Verokompensaatiot[[#This Row],[Veromenetysten korvaus 2024]]+Verokompensaatiot[[#This Row],[Veromenetysten korvaus 2025]]</f>
        <v>2168746.0143515416</v>
      </c>
    </row>
    <row r="186" spans="1:6">
      <c r="A186" s="32">
        <v>595</v>
      </c>
      <c r="B186" s="13" t="s">
        <v>193</v>
      </c>
      <c r="C186" s="164">
        <v>972282.43669580948</v>
      </c>
      <c r="D186" s="164">
        <v>-6780.1428213591535</v>
      </c>
      <c r="E186" s="164">
        <v>-223796.03484187124</v>
      </c>
      <c r="F186" s="300">
        <f>Verokompensaatiot[[#This Row],[Korvaukset vuosilta 2010-2023, €]]+Verokompensaatiot[[#This Row],[Veromenetysten korvaus 2024]]+Verokompensaatiot[[#This Row],[Veromenetysten korvaus 2025]]</f>
        <v>741706.25903257914</v>
      </c>
    </row>
    <row r="187" spans="1:6">
      <c r="A187" s="32">
        <v>598</v>
      </c>
      <c r="B187" s="13" t="s">
        <v>194</v>
      </c>
      <c r="C187" s="164">
        <v>3057466.6288290229</v>
      </c>
      <c r="D187" s="164">
        <v>18968.423896229855</v>
      </c>
      <c r="E187" s="164">
        <v>-1345750.4474481617</v>
      </c>
      <c r="F187" s="300">
        <f>Verokompensaatiot[[#This Row],[Korvaukset vuosilta 2010-2023, €]]+Verokompensaatiot[[#This Row],[Veromenetysten korvaus 2024]]+Verokompensaatiot[[#This Row],[Veromenetysten korvaus 2025]]</f>
        <v>1730684.605277091</v>
      </c>
    </row>
    <row r="188" spans="1:6">
      <c r="A188" s="32">
        <v>599</v>
      </c>
      <c r="B188" s="13" t="s">
        <v>195</v>
      </c>
      <c r="C188" s="164">
        <v>2039832.4276491953</v>
      </c>
      <c r="D188" s="164">
        <v>763.41020902849777</v>
      </c>
      <c r="E188" s="164">
        <v>-860918.42916177167</v>
      </c>
      <c r="F188" s="300">
        <f>Verokompensaatiot[[#This Row],[Korvaukset vuosilta 2010-2023, €]]+Verokompensaatiot[[#This Row],[Veromenetysten korvaus 2024]]+Verokompensaatiot[[#This Row],[Veromenetysten korvaus 2025]]</f>
        <v>1179677.4086964522</v>
      </c>
    </row>
    <row r="189" spans="1:6">
      <c r="A189" s="32">
        <v>601</v>
      </c>
      <c r="B189" s="13" t="s">
        <v>196</v>
      </c>
      <c r="C189" s="164">
        <v>858001.98963607987</v>
      </c>
      <c r="D189" s="164">
        <v>-147.54206033757691</v>
      </c>
      <c r="E189" s="164">
        <v>-215197.20033506758</v>
      </c>
      <c r="F189" s="300">
        <f>Verokompensaatiot[[#This Row],[Korvaukset vuosilta 2010-2023, €]]+Verokompensaatiot[[#This Row],[Veromenetysten korvaus 2024]]+Verokompensaatiot[[#This Row],[Veromenetysten korvaus 2025]]</f>
        <v>642657.24724067468</v>
      </c>
    </row>
    <row r="190" spans="1:6">
      <c r="A190" s="32">
        <v>604</v>
      </c>
      <c r="B190" s="13" t="s">
        <v>197</v>
      </c>
      <c r="C190" s="164">
        <v>2135859.3612966966</v>
      </c>
      <c r="D190" s="164">
        <v>-16198.816704595545</v>
      </c>
      <c r="E190" s="164">
        <v>-1186074.979831269</v>
      </c>
      <c r="F190" s="300">
        <f>Verokompensaatiot[[#This Row],[Korvaukset vuosilta 2010-2023, €]]+Verokompensaatiot[[#This Row],[Veromenetysten korvaus 2024]]+Verokompensaatiot[[#This Row],[Veromenetysten korvaus 2025]]</f>
        <v>933585.56476083212</v>
      </c>
    </row>
    <row r="191" spans="1:6">
      <c r="A191" s="32">
        <v>607</v>
      </c>
      <c r="B191" s="13" t="s">
        <v>198</v>
      </c>
      <c r="C191" s="164">
        <v>938647.58690160885</v>
      </c>
      <c r="D191" s="164">
        <v>-5764.2108516378266</v>
      </c>
      <c r="E191" s="164">
        <v>-221207.6868679894</v>
      </c>
      <c r="F191" s="300">
        <f>Verokompensaatiot[[#This Row],[Korvaukset vuosilta 2010-2023, €]]+Verokompensaatiot[[#This Row],[Veromenetysten korvaus 2024]]+Verokompensaatiot[[#This Row],[Veromenetysten korvaus 2025]]</f>
        <v>711675.68918198161</v>
      </c>
    </row>
    <row r="192" spans="1:6">
      <c r="A192" s="32">
        <v>608</v>
      </c>
      <c r="B192" s="13" t="s">
        <v>199</v>
      </c>
      <c r="C192" s="164">
        <v>418388.12446064875</v>
      </c>
      <c r="D192" s="164">
        <v>-5103.6667095825051</v>
      </c>
      <c r="E192" s="164">
        <v>-137980.64022679479</v>
      </c>
      <c r="F192" s="300">
        <f>Verokompensaatiot[[#This Row],[Korvaukset vuosilta 2010-2023, €]]+Verokompensaatiot[[#This Row],[Veromenetysten korvaus 2024]]+Verokompensaatiot[[#This Row],[Veromenetysten korvaus 2025]]</f>
        <v>275303.81752427144</v>
      </c>
    </row>
    <row r="193" spans="1:6">
      <c r="A193" s="32">
        <v>609</v>
      </c>
      <c r="B193" s="13" t="s">
        <v>200</v>
      </c>
      <c r="C193" s="164">
        <v>13537031.482079029</v>
      </c>
      <c r="D193" s="164">
        <v>5330.3636550249103</v>
      </c>
      <c r="E193" s="164">
        <v>-5239483.2475358918</v>
      </c>
      <c r="F193" s="300">
        <f>Verokompensaatiot[[#This Row],[Korvaukset vuosilta 2010-2023, €]]+Verokompensaatiot[[#This Row],[Veromenetysten korvaus 2024]]+Verokompensaatiot[[#This Row],[Veromenetysten korvaus 2025]]</f>
        <v>8302878.5981981624</v>
      </c>
    </row>
    <row r="194" spans="1:6">
      <c r="A194" s="301">
        <v>611</v>
      </c>
      <c r="B194" s="13" t="s">
        <v>201</v>
      </c>
      <c r="C194" s="164">
        <v>758884.41692466103</v>
      </c>
      <c r="D194" s="164">
        <v>-39242.977017067096</v>
      </c>
      <c r="E194" s="164">
        <v>-320611.73378184217</v>
      </c>
      <c r="F194" s="300">
        <f>Verokompensaatiot[[#This Row],[Korvaukset vuosilta 2010-2023, €]]+Verokompensaatiot[[#This Row],[Veromenetysten korvaus 2024]]+Verokompensaatiot[[#This Row],[Veromenetysten korvaus 2025]]</f>
        <v>399029.70612575172</v>
      </c>
    </row>
    <row r="195" spans="1:6">
      <c r="A195" s="32">
        <v>614</v>
      </c>
      <c r="B195" s="13" t="s">
        <v>202</v>
      </c>
      <c r="C195" s="164">
        <v>765773.22457206785</v>
      </c>
      <c r="D195" s="164">
        <v>3227.7093184630639</v>
      </c>
      <c r="E195" s="164">
        <v>-164996.9487985216</v>
      </c>
      <c r="F195" s="300">
        <f>Verokompensaatiot[[#This Row],[Korvaukset vuosilta 2010-2023, €]]+Verokompensaatiot[[#This Row],[Veromenetysten korvaus 2024]]+Verokompensaatiot[[#This Row],[Veromenetysten korvaus 2025]]</f>
        <v>604003.98509200942</v>
      </c>
    </row>
    <row r="196" spans="1:6">
      <c r="A196" s="32">
        <v>615</v>
      </c>
      <c r="B196" s="13" t="s">
        <v>203</v>
      </c>
      <c r="C196" s="164">
        <v>1559906.3044823692</v>
      </c>
      <c r="D196" s="164">
        <v>-2839.2779425589997</v>
      </c>
      <c r="E196" s="164">
        <v>-444443.75186507095</v>
      </c>
      <c r="F196" s="300">
        <f>Verokompensaatiot[[#This Row],[Korvaukset vuosilta 2010-2023, €]]+Verokompensaatiot[[#This Row],[Veromenetysten korvaus 2024]]+Verokompensaatiot[[#This Row],[Veromenetysten korvaus 2025]]</f>
        <v>1112623.2746747392</v>
      </c>
    </row>
    <row r="197" spans="1:6">
      <c r="A197" s="32">
        <v>616</v>
      </c>
      <c r="B197" s="13" t="s">
        <v>204</v>
      </c>
      <c r="C197" s="164">
        <v>391264.80938673951</v>
      </c>
      <c r="D197" s="164">
        <v>-11116.095694455018</v>
      </c>
      <c r="E197" s="164">
        <v>-126555.76161642658</v>
      </c>
      <c r="F197" s="300">
        <f>Verokompensaatiot[[#This Row],[Korvaukset vuosilta 2010-2023, €]]+Verokompensaatiot[[#This Row],[Veromenetysten korvaus 2024]]+Verokompensaatiot[[#This Row],[Veromenetysten korvaus 2025]]</f>
        <v>253592.9520758579</v>
      </c>
    </row>
    <row r="198" spans="1:6">
      <c r="A198" s="32">
        <v>619</v>
      </c>
      <c r="B198" s="13" t="s">
        <v>205</v>
      </c>
      <c r="C198" s="164">
        <v>692332.35488204192</v>
      </c>
      <c r="D198" s="164">
        <v>-3520.836632194194</v>
      </c>
      <c r="E198" s="164">
        <v>-150458.888442558</v>
      </c>
      <c r="F198" s="300">
        <f>Verokompensaatiot[[#This Row],[Korvaukset vuosilta 2010-2023, €]]+Verokompensaatiot[[#This Row],[Veromenetysten korvaus 2024]]+Verokompensaatiot[[#This Row],[Veromenetysten korvaus 2025]]</f>
        <v>538352.62980728969</v>
      </c>
    </row>
    <row r="199" spans="1:6">
      <c r="A199" s="32">
        <v>620</v>
      </c>
      <c r="B199" s="13" t="s">
        <v>206</v>
      </c>
      <c r="C199" s="164">
        <v>592880.19126909296</v>
      </c>
      <c r="D199" s="164">
        <v>-1875.5753370449092</v>
      </c>
      <c r="E199" s="164">
        <v>-117296.39075136482</v>
      </c>
      <c r="F199" s="300">
        <f>Verokompensaatiot[[#This Row],[Korvaukset vuosilta 2010-2023, €]]+Verokompensaatiot[[#This Row],[Veromenetysten korvaus 2024]]+Verokompensaatiot[[#This Row],[Veromenetysten korvaus 2025]]</f>
        <v>473708.22518068325</v>
      </c>
    </row>
    <row r="200" spans="1:6">
      <c r="A200" s="32">
        <v>623</v>
      </c>
      <c r="B200" s="13" t="s">
        <v>207</v>
      </c>
      <c r="C200" s="164">
        <v>477548.71115935524</v>
      </c>
      <c r="D200" s="164">
        <v>-3011.6420900786516</v>
      </c>
      <c r="E200" s="164">
        <v>-77514.934526289435</v>
      </c>
      <c r="F200" s="300">
        <f>Verokompensaatiot[[#This Row],[Korvaukset vuosilta 2010-2023, €]]+Verokompensaatiot[[#This Row],[Veromenetysten korvaus 2024]]+Verokompensaatiot[[#This Row],[Veromenetysten korvaus 2025]]</f>
        <v>397022.1345429871</v>
      </c>
    </row>
    <row r="201" spans="1:6">
      <c r="A201" s="32">
        <v>624</v>
      </c>
      <c r="B201" s="13" t="s">
        <v>208</v>
      </c>
      <c r="C201" s="164">
        <v>739756.86131195817</v>
      </c>
      <c r="D201" s="164">
        <v>-25112.735155243034</v>
      </c>
      <c r="E201" s="164">
        <v>-284363.46786022739</v>
      </c>
      <c r="F201" s="300">
        <f>Verokompensaatiot[[#This Row],[Korvaukset vuosilta 2010-2023, €]]+Verokompensaatiot[[#This Row],[Veromenetysten korvaus 2024]]+Verokompensaatiot[[#This Row],[Veromenetysten korvaus 2025]]</f>
        <v>430280.6582964877</v>
      </c>
    </row>
    <row r="202" spans="1:6">
      <c r="A202" s="32">
        <v>625</v>
      </c>
      <c r="B202" s="13" t="s">
        <v>209</v>
      </c>
      <c r="C202" s="164">
        <v>563298.79902610555</v>
      </c>
      <c r="D202" s="164">
        <v>-6041.3908384857286</v>
      </c>
      <c r="E202" s="164">
        <v>-167826.70045613157</v>
      </c>
      <c r="F202" s="300">
        <f>Verokompensaatiot[[#This Row],[Korvaukset vuosilta 2010-2023, €]]+Verokompensaatiot[[#This Row],[Veromenetysten korvaus 2024]]+Verokompensaatiot[[#This Row],[Veromenetysten korvaus 2025]]</f>
        <v>389430.70773148828</v>
      </c>
    </row>
    <row r="203" spans="1:6">
      <c r="A203" s="32">
        <v>626</v>
      </c>
      <c r="B203" s="13" t="s">
        <v>210</v>
      </c>
      <c r="C203" s="164">
        <v>958856.20401978446</v>
      </c>
      <c r="D203" s="164">
        <v>-913.8016317605834</v>
      </c>
      <c r="E203" s="164">
        <v>-272081.03792137344</v>
      </c>
      <c r="F203" s="300">
        <f>Verokompensaatiot[[#This Row],[Korvaukset vuosilta 2010-2023, €]]+Verokompensaatiot[[#This Row],[Veromenetysten korvaus 2024]]+Verokompensaatiot[[#This Row],[Veromenetysten korvaus 2025]]</f>
        <v>685861.36446665041</v>
      </c>
    </row>
    <row r="204" spans="1:6">
      <c r="A204" s="32">
        <v>630</v>
      </c>
      <c r="B204" s="13" t="s">
        <v>211</v>
      </c>
      <c r="C204" s="164">
        <v>293457.79005564051</v>
      </c>
      <c r="D204" s="164">
        <v>1582.1644145842192</v>
      </c>
      <c r="E204" s="164">
        <v>-102154.16653783497</v>
      </c>
      <c r="F204" s="300">
        <f>Verokompensaatiot[[#This Row],[Korvaukset vuosilta 2010-2023, €]]+Verokompensaatiot[[#This Row],[Veromenetysten korvaus 2024]]+Verokompensaatiot[[#This Row],[Veromenetysten korvaus 2025]]</f>
        <v>192885.78793238977</v>
      </c>
    </row>
    <row r="205" spans="1:6">
      <c r="A205" s="32">
        <v>631</v>
      </c>
      <c r="B205" s="13" t="s">
        <v>212</v>
      </c>
      <c r="C205" s="164">
        <v>344417.13611322758</v>
      </c>
      <c r="D205" s="164">
        <v>-11167.013262571138</v>
      </c>
      <c r="E205" s="164">
        <v>-142512.27486449742</v>
      </c>
      <c r="F205" s="300">
        <f>Verokompensaatiot[[#This Row],[Korvaukset vuosilta 2010-2023, €]]+Verokompensaatiot[[#This Row],[Veromenetysten korvaus 2024]]+Verokompensaatiot[[#This Row],[Veromenetysten korvaus 2025]]</f>
        <v>190737.84798615903</v>
      </c>
    </row>
    <row r="206" spans="1:6">
      <c r="A206" s="32">
        <v>635</v>
      </c>
      <c r="B206" s="13" t="s">
        <v>213</v>
      </c>
      <c r="C206" s="164">
        <v>1272187.3641265314</v>
      </c>
      <c r="D206" s="164">
        <v>-33444.399860024489</v>
      </c>
      <c r="E206" s="164">
        <v>-416758.90319640568</v>
      </c>
      <c r="F206" s="300">
        <f>Verokompensaatiot[[#This Row],[Korvaukset vuosilta 2010-2023, €]]+Verokompensaatiot[[#This Row],[Veromenetysten korvaus 2024]]+Verokompensaatiot[[#This Row],[Veromenetysten korvaus 2025]]</f>
        <v>821984.06107010134</v>
      </c>
    </row>
    <row r="207" spans="1:6">
      <c r="A207" s="32">
        <v>636</v>
      </c>
      <c r="B207" s="13" t="s">
        <v>214</v>
      </c>
      <c r="C207" s="164">
        <v>1772192.3552646744</v>
      </c>
      <c r="D207" s="164">
        <v>-33709.773266676566</v>
      </c>
      <c r="E207" s="164">
        <v>-538968.42039364891</v>
      </c>
      <c r="F207" s="300">
        <f>Verokompensaatiot[[#This Row],[Korvaukset vuosilta 2010-2023, €]]+Verokompensaatiot[[#This Row],[Veromenetysten korvaus 2024]]+Verokompensaatiot[[#This Row],[Veromenetysten korvaus 2025]]</f>
        <v>1199514.161604349</v>
      </c>
    </row>
    <row r="208" spans="1:6">
      <c r="A208" s="32">
        <v>638</v>
      </c>
      <c r="B208" s="13" t="s">
        <v>215</v>
      </c>
      <c r="C208" s="164">
        <v>7464233.6631018911</v>
      </c>
      <c r="D208" s="164">
        <v>-139313.11942067801</v>
      </c>
      <c r="E208" s="164">
        <v>-2559868.3176723532</v>
      </c>
      <c r="F208" s="300">
        <f>Verokompensaatiot[[#This Row],[Korvaukset vuosilta 2010-2023, €]]+Verokompensaatiot[[#This Row],[Veromenetysten korvaus 2024]]+Verokompensaatiot[[#This Row],[Veromenetysten korvaus 2025]]</f>
        <v>4765052.2260088595</v>
      </c>
    </row>
    <row r="209" spans="1:6">
      <c r="A209" s="32">
        <v>678</v>
      </c>
      <c r="B209" s="13" t="s">
        <v>216</v>
      </c>
      <c r="C209" s="164">
        <v>3472366.0037305513</v>
      </c>
      <c r="D209" s="164">
        <v>-17280.547611528971</v>
      </c>
      <c r="E209" s="164">
        <v>-1500087.1561062774</v>
      </c>
      <c r="F209" s="300">
        <f>Verokompensaatiot[[#This Row],[Korvaukset vuosilta 2010-2023, €]]+Verokompensaatiot[[#This Row],[Veromenetysten korvaus 2024]]+Verokompensaatiot[[#This Row],[Veromenetysten korvaus 2025]]</f>
        <v>1954998.300012745</v>
      </c>
    </row>
    <row r="210" spans="1:6">
      <c r="A210" s="32">
        <v>680</v>
      </c>
      <c r="B210" s="13" t="s">
        <v>217</v>
      </c>
      <c r="C210" s="164">
        <v>3437295.6144646946</v>
      </c>
      <c r="D210" s="164">
        <v>-8876.3631779418429</v>
      </c>
      <c r="E210" s="164">
        <v>-1510204.8043940458</v>
      </c>
      <c r="F210" s="300">
        <f>Verokompensaatiot[[#This Row],[Korvaukset vuosilta 2010-2023, €]]+Verokompensaatiot[[#This Row],[Veromenetysten korvaus 2024]]+Verokompensaatiot[[#This Row],[Veromenetysten korvaus 2025]]</f>
        <v>1918214.4468927071</v>
      </c>
    </row>
    <row r="211" spans="1:6">
      <c r="A211" s="32">
        <v>681</v>
      </c>
      <c r="B211" s="13" t="s">
        <v>218</v>
      </c>
      <c r="C211" s="164">
        <v>805669.3802147815</v>
      </c>
      <c r="D211" s="164">
        <v>-3647.2257864315234</v>
      </c>
      <c r="E211" s="164">
        <v>-205412.21541264307</v>
      </c>
      <c r="F211" s="300">
        <f>Verokompensaatiot[[#This Row],[Korvaukset vuosilta 2010-2023, €]]+Verokompensaatiot[[#This Row],[Veromenetysten korvaus 2024]]+Verokompensaatiot[[#This Row],[Veromenetysten korvaus 2025]]</f>
        <v>596609.93901570688</v>
      </c>
    </row>
    <row r="212" spans="1:6">
      <c r="A212" s="32">
        <v>683</v>
      </c>
      <c r="B212" s="13" t="s">
        <v>219</v>
      </c>
      <c r="C212" s="164">
        <v>759963.97848509136</v>
      </c>
      <c r="D212" s="164">
        <v>2195.8263855824698</v>
      </c>
      <c r="E212" s="164">
        <v>-138035.27892804085</v>
      </c>
      <c r="F212" s="300">
        <f>Verokompensaatiot[[#This Row],[Korvaukset vuosilta 2010-2023, €]]+Verokompensaatiot[[#This Row],[Veromenetysten korvaus 2024]]+Verokompensaatiot[[#This Row],[Veromenetysten korvaus 2025]]</f>
        <v>624124.52594263293</v>
      </c>
    </row>
    <row r="213" spans="1:6">
      <c r="A213" s="32">
        <v>684</v>
      </c>
      <c r="B213" s="13" t="s">
        <v>220</v>
      </c>
      <c r="C213" s="164">
        <v>7040812.967825627</v>
      </c>
      <c r="D213" s="164">
        <v>-46326.868723353313</v>
      </c>
      <c r="E213" s="164">
        <v>-2272410.6182920584</v>
      </c>
      <c r="F213" s="300">
        <f>Verokompensaatiot[[#This Row],[Korvaukset vuosilta 2010-2023, €]]+Verokompensaatiot[[#This Row],[Veromenetysten korvaus 2024]]+Verokompensaatiot[[#This Row],[Veromenetysten korvaus 2025]]</f>
        <v>4722075.4808102157</v>
      </c>
    </row>
    <row r="214" spans="1:6">
      <c r="A214" s="32">
        <v>686</v>
      </c>
      <c r="B214" s="13" t="s">
        <v>221</v>
      </c>
      <c r="C214" s="164">
        <v>672707.59369978006</v>
      </c>
      <c r="D214" s="164">
        <v>-5763.5498863852827</v>
      </c>
      <c r="E214" s="164">
        <v>-198166.6113702213</v>
      </c>
      <c r="F214" s="300">
        <f>Verokompensaatiot[[#This Row],[Korvaukset vuosilta 2010-2023, €]]+Verokompensaatiot[[#This Row],[Veromenetysten korvaus 2024]]+Verokompensaatiot[[#This Row],[Veromenetysten korvaus 2025]]</f>
        <v>468777.43244317343</v>
      </c>
    </row>
    <row r="215" spans="1:6">
      <c r="A215" s="32">
        <v>687</v>
      </c>
      <c r="B215" s="13" t="s">
        <v>222</v>
      </c>
      <c r="C215" s="164">
        <v>376032.70872593054</v>
      </c>
      <c r="D215" s="164">
        <v>997.98261103500727</v>
      </c>
      <c r="E215" s="164">
        <v>-78319.316487466407</v>
      </c>
      <c r="F215" s="300">
        <f>Verokompensaatiot[[#This Row],[Korvaukset vuosilta 2010-2023, €]]+Verokompensaatiot[[#This Row],[Veromenetysten korvaus 2024]]+Verokompensaatiot[[#This Row],[Veromenetysten korvaus 2025]]</f>
        <v>298711.37484949915</v>
      </c>
    </row>
    <row r="216" spans="1:6">
      <c r="A216" s="32">
        <v>689</v>
      </c>
      <c r="B216" s="13" t="s">
        <v>223</v>
      </c>
      <c r="C216" s="164">
        <v>595411.99035538943</v>
      </c>
      <c r="D216" s="164">
        <v>-6980.7495428664679</v>
      </c>
      <c r="E216" s="164">
        <v>-132886.94684052636</v>
      </c>
      <c r="F216" s="300">
        <f>Verokompensaatiot[[#This Row],[Korvaukset vuosilta 2010-2023, €]]+Verokompensaatiot[[#This Row],[Veromenetysten korvaus 2024]]+Verokompensaatiot[[#This Row],[Veromenetysten korvaus 2025]]</f>
        <v>455544.29397199658</v>
      </c>
    </row>
    <row r="217" spans="1:6">
      <c r="A217" s="32">
        <v>691</v>
      </c>
      <c r="B217" s="13" t="s">
        <v>224</v>
      </c>
      <c r="C217" s="164">
        <v>640960.05842737365</v>
      </c>
      <c r="D217" s="164">
        <v>889.16465889832762</v>
      </c>
      <c r="E217" s="164">
        <v>-183593.42524559205</v>
      </c>
      <c r="F217" s="300">
        <f>Verokompensaatiot[[#This Row],[Korvaukset vuosilta 2010-2023, €]]+Verokompensaatiot[[#This Row],[Veromenetysten korvaus 2024]]+Verokompensaatiot[[#This Row],[Veromenetysten korvaus 2025]]</f>
        <v>458255.79784068</v>
      </c>
    </row>
    <row r="218" spans="1:6">
      <c r="A218" s="32">
        <v>694</v>
      </c>
      <c r="B218" s="13" t="s">
        <v>225</v>
      </c>
      <c r="C218" s="164">
        <v>4328850.2716077119</v>
      </c>
      <c r="D218" s="164">
        <v>-65207.639687632676</v>
      </c>
      <c r="E218" s="164">
        <v>-1714135.41863124</v>
      </c>
      <c r="F218" s="300">
        <f>Verokompensaatiot[[#This Row],[Korvaukset vuosilta 2010-2023, €]]+Verokompensaatiot[[#This Row],[Veromenetysten korvaus 2024]]+Verokompensaatiot[[#This Row],[Veromenetysten korvaus 2025]]</f>
        <v>2549507.213288839</v>
      </c>
    </row>
    <row r="219" spans="1:6">
      <c r="A219" s="32">
        <v>697</v>
      </c>
      <c r="B219" s="13" t="s">
        <v>226</v>
      </c>
      <c r="C219" s="164">
        <v>294418.19818171416</v>
      </c>
      <c r="D219" s="164">
        <v>-4717.5566931582398</v>
      </c>
      <c r="E219" s="164">
        <v>-71461.583779181616</v>
      </c>
      <c r="F219" s="300">
        <f>Verokompensaatiot[[#This Row],[Korvaukset vuosilta 2010-2023, €]]+Verokompensaatiot[[#This Row],[Veromenetysten korvaus 2024]]+Verokompensaatiot[[#This Row],[Veromenetysten korvaus 2025]]</f>
        <v>218239.05770937432</v>
      </c>
    </row>
    <row r="220" spans="1:6">
      <c r="A220" s="32">
        <v>698</v>
      </c>
      <c r="B220" s="13" t="s">
        <v>227</v>
      </c>
      <c r="C220" s="164">
        <v>9602704.4680333622</v>
      </c>
      <c r="D220" s="164">
        <v>61591.119052694317</v>
      </c>
      <c r="E220" s="164">
        <v>-4712489.2592264414</v>
      </c>
      <c r="F220" s="300">
        <f>Verokompensaatiot[[#This Row],[Korvaukset vuosilta 2010-2023, €]]+Verokompensaatiot[[#This Row],[Veromenetysten korvaus 2024]]+Verokompensaatiot[[#This Row],[Veromenetysten korvaus 2025]]</f>
        <v>4951806.3278596159</v>
      </c>
    </row>
    <row r="221" spans="1:6">
      <c r="A221" s="32">
        <v>700</v>
      </c>
      <c r="B221" s="13" t="s">
        <v>228</v>
      </c>
      <c r="C221" s="164">
        <v>815623.78408988658</v>
      </c>
      <c r="D221" s="164">
        <v>-25084.569847599741</v>
      </c>
      <c r="E221" s="164">
        <v>-260032.80416820614</v>
      </c>
      <c r="F221" s="300">
        <f>Verokompensaatiot[[#This Row],[Korvaukset vuosilta 2010-2023, €]]+Verokompensaatiot[[#This Row],[Veromenetysten korvaus 2024]]+Verokompensaatiot[[#This Row],[Veromenetysten korvaus 2025]]</f>
        <v>530506.41007408069</v>
      </c>
    </row>
    <row r="222" spans="1:6">
      <c r="A222" s="32">
        <v>702</v>
      </c>
      <c r="B222" s="13" t="s">
        <v>229</v>
      </c>
      <c r="C222" s="164">
        <v>910151.59470414324</v>
      </c>
      <c r="D222" s="164">
        <v>-12482.508347875468</v>
      </c>
      <c r="E222" s="164">
        <v>-252355.04569357182</v>
      </c>
      <c r="F222" s="300">
        <f>Verokompensaatiot[[#This Row],[Korvaukset vuosilta 2010-2023, €]]+Verokompensaatiot[[#This Row],[Veromenetysten korvaus 2024]]+Verokompensaatiot[[#This Row],[Veromenetysten korvaus 2025]]</f>
        <v>645314.040662696</v>
      </c>
    </row>
    <row r="223" spans="1:6">
      <c r="A223" s="32">
        <v>704</v>
      </c>
      <c r="B223" s="13" t="s">
        <v>230</v>
      </c>
      <c r="C223" s="164">
        <v>871842.56580709014</v>
      </c>
      <c r="D223" s="164">
        <v>-24726.130465027702</v>
      </c>
      <c r="E223" s="164">
        <v>-355119.38255484856</v>
      </c>
      <c r="F223" s="300">
        <f>Verokompensaatiot[[#This Row],[Korvaukset vuosilta 2010-2023, €]]+Verokompensaatiot[[#This Row],[Veromenetysten korvaus 2024]]+Verokompensaatiot[[#This Row],[Veromenetysten korvaus 2025]]</f>
        <v>491997.05278721394</v>
      </c>
    </row>
    <row r="224" spans="1:6">
      <c r="A224" s="32">
        <v>707</v>
      </c>
      <c r="B224" s="13" t="s">
        <v>231</v>
      </c>
      <c r="C224" s="164">
        <v>524427.44226363301</v>
      </c>
      <c r="D224" s="164">
        <v>-44.61667030094759</v>
      </c>
      <c r="E224" s="164">
        <v>-94640.145758959319</v>
      </c>
      <c r="F224" s="300">
        <f>Verokompensaatiot[[#This Row],[Korvaukset vuosilta 2010-2023, €]]+Verokompensaatiot[[#This Row],[Veromenetysten korvaus 2024]]+Verokompensaatiot[[#This Row],[Veromenetysten korvaus 2025]]</f>
        <v>429742.67983437271</v>
      </c>
    </row>
    <row r="225" spans="1:6">
      <c r="A225" s="32">
        <v>710</v>
      </c>
      <c r="B225" s="13" t="s">
        <v>232</v>
      </c>
      <c r="C225" s="164">
        <v>4902020.8825135343</v>
      </c>
      <c r="D225" s="164">
        <v>-93203.810375645218</v>
      </c>
      <c r="E225" s="164">
        <v>-1926449.9830202295</v>
      </c>
      <c r="F225" s="300">
        <f>Verokompensaatiot[[#This Row],[Korvaukset vuosilta 2010-2023, €]]+Verokompensaatiot[[#This Row],[Veromenetysten korvaus 2024]]+Verokompensaatiot[[#This Row],[Veromenetysten korvaus 2025]]</f>
        <v>2882367.0891176602</v>
      </c>
    </row>
    <row r="226" spans="1:6">
      <c r="A226" s="32">
        <v>729</v>
      </c>
      <c r="B226" s="13" t="s">
        <v>233</v>
      </c>
      <c r="C226" s="164">
        <v>1905196.3208219288</v>
      </c>
      <c r="D226" s="164">
        <v>-22058.211785798332</v>
      </c>
      <c r="E226" s="164">
        <v>-553722.24776395026</v>
      </c>
      <c r="F226" s="300">
        <f>Verokompensaatiot[[#This Row],[Korvaukset vuosilta 2010-2023, €]]+Verokompensaatiot[[#This Row],[Veromenetysten korvaus 2024]]+Verokompensaatiot[[#This Row],[Veromenetysten korvaus 2025]]</f>
        <v>1329415.86127218</v>
      </c>
    </row>
    <row r="227" spans="1:6">
      <c r="A227" s="32">
        <v>732</v>
      </c>
      <c r="B227" s="13" t="s">
        <v>234</v>
      </c>
      <c r="C227" s="164">
        <v>755675.73850250035</v>
      </c>
      <c r="D227" s="164">
        <v>1465.7189432671148</v>
      </c>
      <c r="E227" s="164">
        <v>-182231.75031742232</v>
      </c>
      <c r="F227" s="300">
        <f>Verokompensaatiot[[#This Row],[Korvaukset vuosilta 2010-2023, €]]+Verokompensaatiot[[#This Row],[Veromenetysten korvaus 2024]]+Verokompensaatiot[[#This Row],[Veromenetysten korvaus 2025]]</f>
        <v>574909.70712834515</v>
      </c>
    </row>
    <row r="228" spans="1:6">
      <c r="A228" s="32">
        <v>734</v>
      </c>
      <c r="B228" s="13" t="s">
        <v>235</v>
      </c>
      <c r="C228" s="164">
        <v>9273826.570309896</v>
      </c>
      <c r="D228" s="164">
        <v>-140622.93085031488</v>
      </c>
      <c r="E228" s="164">
        <v>-3069170.1082269107</v>
      </c>
      <c r="F228" s="300">
        <f>Verokompensaatiot[[#This Row],[Korvaukset vuosilta 2010-2023, €]]+Verokompensaatiot[[#This Row],[Veromenetysten korvaus 2024]]+Verokompensaatiot[[#This Row],[Veromenetysten korvaus 2025]]</f>
        <v>6064033.5312326718</v>
      </c>
    </row>
    <row r="229" spans="1:6">
      <c r="A229" s="32">
        <v>738</v>
      </c>
      <c r="B229" s="13" t="s">
        <v>236</v>
      </c>
      <c r="C229" s="164">
        <v>584899.15882966924</v>
      </c>
      <c r="D229" s="164">
        <v>-15128.506439010893</v>
      </c>
      <c r="E229" s="164">
        <v>-197017.10266478988</v>
      </c>
      <c r="F229" s="300">
        <f>Verokompensaatiot[[#This Row],[Korvaukset vuosilta 2010-2023, €]]+Verokompensaatiot[[#This Row],[Veromenetysten korvaus 2024]]+Verokompensaatiot[[#This Row],[Veromenetysten korvaus 2025]]</f>
        <v>372753.54972586851</v>
      </c>
    </row>
    <row r="230" spans="1:6">
      <c r="A230" s="32">
        <v>739</v>
      </c>
      <c r="B230" s="13" t="s">
        <v>237</v>
      </c>
      <c r="C230" s="164">
        <v>719684.4299765157</v>
      </c>
      <c r="D230" s="164">
        <v>-15399.730164890145</v>
      </c>
      <c r="E230" s="164">
        <v>-179052.10401449315</v>
      </c>
      <c r="F230" s="300">
        <f>Verokompensaatiot[[#This Row],[Korvaukset vuosilta 2010-2023, €]]+Verokompensaatiot[[#This Row],[Veromenetysten korvaus 2024]]+Verokompensaatiot[[#This Row],[Veromenetysten korvaus 2025]]</f>
        <v>525232.59579713235</v>
      </c>
    </row>
    <row r="231" spans="1:6">
      <c r="A231" s="32">
        <v>740</v>
      </c>
      <c r="B231" s="13" t="s">
        <v>238</v>
      </c>
      <c r="C231" s="164">
        <v>6155499.2061898317</v>
      </c>
      <c r="D231" s="164">
        <v>-3462.5217500497383</v>
      </c>
      <c r="E231" s="164">
        <v>-2165636.9388432801</v>
      </c>
      <c r="F231" s="300">
        <f>Verokompensaatiot[[#This Row],[Korvaukset vuosilta 2010-2023, €]]+Verokompensaatiot[[#This Row],[Veromenetysten korvaus 2024]]+Verokompensaatiot[[#This Row],[Veromenetysten korvaus 2025]]</f>
        <v>3986399.745596502</v>
      </c>
    </row>
    <row r="232" spans="1:6">
      <c r="A232" s="32">
        <v>742</v>
      </c>
      <c r="B232" s="13" t="s">
        <v>239</v>
      </c>
      <c r="C232" s="164">
        <v>225038.02043149644</v>
      </c>
      <c r="D232" s="164">
        <v>2775.6352535470601</v>
      </c>
      <c r="E232" s="164">
        <v>-59515.237519362629</v>
      </c>
      <c r="F232" s="300">
        <f>Verokompensaatiot[[#This Row],[Korvaukset vuosilta 2010-2023, €]]+Verokompensaatiot[[#This Row],[Veromenetysten korvaus 2024]]+Verokompensaatiot[[#This Row],[Veromenetysten korvaus 2025]]</f>
        <v>168298.41816568087</v>
      </c>
    </row>
    <row r="233" spans="1:6">
      <c r="A233" s="32">
        <v>743</v>
      </c>
      <c r="B233" s="13" t="s">
        <v>240</v>
      </c>
      <c r="C233" s="164">
        <v>9945565.9278010912</v>
      </c>
      <c r="D233" s="164">
        <v>-53755.976626312869</v>
      </c>
      <c r="E233" s="164">
        <v>-4587863.8824005574</v>
      </c>
      <c r="F233" s="300">
        <f>Verokompensaatiot[[#This Row],[Korvaukset vuosilta 2010-2023, €]]+Verokompensaatiot[[#This Row],[Veromenetysten korvaus 2024]]+Verokompensaatiot[[#This Row],[Veromenetysten korvaus 2025]]</f>
        <v>5303946.0687742215</v>
      </c>
    </row>
    <row r="234" spans="1:6">
      <c r="A234" s="32">
        <v>746</v>
      </c>
      <c r="B234" s="13" t="s">
        <v>241</v>
      </c>
      <c r="C234" s="164">
        <v>923550.17904456658</v>
      </c>
      <c r="D234" s="164">
        <v>3487.6826948098169</v>
      </c>
      <c r="E234" s="164">
        <v>-341297.52363100345</v>
      </c>
      <c r="F234" s="300">
        <f>Verokompensaatiot[[#This Row],[Korvaukset vuosilta 2010-2023, €]]+Verokompensaatiot[[#This Row],[Veromenetysten korvaus 2024]]+Verokompensaatiot[[#This Row],[Veromenetysten korvaus 2025]]</f>
        <v>585740.33810837299</v>
      </c>
    </row>
    <row r="235" spans="1:6">
      <c r="A235" s="32">
        <v>747</v>
      </c>
      <c r="B235" s="13" t="s">
        <v>242</v>
      </c>
      <c r="C235" s="164">
        <v>336015.46016985853</v>
      </c>
      <c r="D235" s="164">
        <v>-923.87301867191536</v>
      </c>
      <c r="E235" s="164">
        <v>-71931.505060068201</v>
      </c>
      <c r="F235" s="300">
        <f>Verokompensaatiot[[#This Row],[Korvaukset vuosilta 2010-2023, €]]+Verokompensaatiot[[#This Row],[Veromenetysten korvaus 2024]]+Verokompensaatiot[[#This Row],[Veromenetysten korvaus 2025]]</f>
        <v>263160.08209111838</v>
      </c>
    </row>
    <row r="236" spans="1:6">
      <c r="A236" s="32">
        <v>748</v>
      </c>
      <c r="B236" s="13" t="s">
        <v>243</v>
      </c>
      <c r="C236" s="164">
        <v>1025424.8215553551</v>
      </c>
      <c r="D236" s="164">
        <v>-9744.5270485501187</v>
      </c>
      <c r="E236" s="164">
        <v>-329435.82715803321</v>
      </c>
      <c r="F236" s="300">
        <f>Verokompensaatiot[[#This Row],[Korvaukset vuosilta 2010-2023, €]]+Verokompensaatiot[[#This Row],[Veromenetysten korvaus 2024]]+Verokompensaatiot[[#This Row],[Veromenetysten korvaus 2025]]</f>
        <v>686244.46734877187</v>
      </c>
    </row>
    <row r="237" spans="1:6">
      <c r="A237" s="32">
        <v>749</v>
      </c>
      <c r="B237" s="13" t="s">
        <v>244</v>
      </c>
      <c r="C237" s="164">
        <v>3085504.7920736158</v>
      </c>
      <c r="D237" s="164">
        <v>-65483.638688530249</v>
      </c>
      <c r="E237" s="164">
        <v>-1625651.8338754359</v>
      </c>
      <c r="F237" s="300">
        <f>Verokompensaatiot[[#This Row],[Korvaukset vuosilta 2010-2023, €]]+Verokompensaatiot[[#This Row],[Veromenetysten korvaus 2024]]+Verokompensaatiot[[#This Row],[Veromenetysten korvaus 2025]]</f>
        <v>1394369.3195096496</v>
      </c>
    </row>
    <row r="238" spans="1:6">
      <c r="A238" s="32">
        <v>751</v>
      </c>
      <c r="B238" s="13" t="s">
        <v>245</v>
      </c>
      <c r="C238" s="164">
        <v>521520.347331553</v>
      </c>
      <c r="D238" s="164">
        <v>-16143.542302261176</v>
      </c>
      <c r="E238" s="164">
        <v>-179457.87077164726</v>
      </c>
      <c r="F238" s="300">
        <f>Verokompensaatiot[[#This Row],[Korvaukset vuosilta 2010-2023, €]]+Verokompensaatiot[[#This Row],[Veromenetysten korvaus 2024]]+Verokompensaatiot[[#This Row],[Veromenetysten korvaus 2025]]</f>
        <v>325918.93425764458</v>
      </c>
    </row>
    <row r="239" spans="1:6">
      <c r="A239" s="32">
        <v>753</v>
      </c>
      <c r="B239" s="13" t="s">
        <v>246</v>
      </c>
      <c r="C239" s="164">
        <v>2530377.8872347632</v>
      </c>
      <c r="D239" s="164">
        <v>-54785.270209304406</v>
      </c>
      <c r="E239" s="164">
        <v>-1030207.2072847823</v>
      </c>
      <c r="F239" s="300">
        <f>Verokompensaatiot[[#This Row],[Korvaukset vuosilta 2010-2023, €]]+Verokompensaatiot[[#This Row],[Veromenetysten korvaus 2024]]+Verokompensaatiot[[#This Row],[Veromenetysten korvaus 2025]]</f>
        <v>1445385.4097406764</v>
      </c>
    </row>
    <row r="240" spans="1:6">
      <c r="A240" s="32">
        <v>755</v>
      </c>
      <c r="B240" s="13" t="s">
        <v>247</v>
      </c>
      <c r="C240" s="164">
        <v>912800.49977479735</v>
      </c>
      <c r="D240" s="164">
        <v>-43903.329861416343</v>
      </c>
      <c r="E240" s="164">
        <v>-394769.32103705069</v>
      </c>
      <c r="F240" s="300">
        <f>Verokompensaatiot[[#This Row],[Korvaukset vuosilta 2010-2023, €]]+Verokompensaatiot[[#This Row],[Veromenetysten korvaus 2024]]+Verokompensaatiot[[#This Row],[Veromenetysten korvaus 2025]]</f>
        <v>474127.8488763303</v>
      </c>
    </row>
    <row r="241" spans="1:6">
      <c r="A241" s="32">
        <v>758</v>
      </c>
      <c r="B241" s="13" t="s">
        <v>248</v>
      </c>
      <c r="C241" s="164">
        <v>1522016.359015387</v>
      </c>
      <c r="D241" s="164">
        <v>-10508.418054106198</v>
      </c>
      <c r="E241" s="164">
        <v>-508546.80687327991</v>
      </c>
      <c r="F241" s="300">
        <f>Verokompensaatiot[[#This Row],[Korvaukset vuosilta 2010-2023, €]]+Verokompensaatiot[[#This Row],[Veromenetysten korvaus 2024]]+Verokompensaatiot[[#This Row],[Veromenetysten korvaus 2025]]</f>
        <v>1002961.134088001</v>
      </c>
    </row>
    <row r="242" spans="1:6">
      <c r="A242" s="32">
        <v>759</v>
      </c>
      <c r="B242" s="13" t="s">
        <v>249</v>
      </c>
      <c r="C242" s="164">
        <v>487637.29880807875</v>
      </c>
      <c r="D242" s="164">
        <v>-665.12050297063706</v>
      </c>
      <c r="E242" s="164">
        <v>-117559.08195127606</v>
      </c>
      <c r="F242" s="300">
        <f>Verokompensaatiot[[#This Row],[Korvaukset vuosilta 2010-2023, €]]+Verokompensaatiot[[#This Row],[Veromenetysten korvaus 2024]]+Verokompensaatiot[[#This Row],[Veromenetysten korvaus 2025]]</f>
        <v>369413.09635383205</v>
      </c>
    </row>
    <row r="243" spans="1:6">
      <c r="A243" s="32">
        <v>761</v>
      </c>
      <c r="B243" s="13" t="s">
        <v>250</v>
      </c>
      <c r="C243" s="164">
        <v>1840449.4381827028</v>
      </c>
      <c r="D243" s="164">
        <v>-14516.78431071965</v>
      </c>
      <c r="E243" s="164">
        <v>-481308.55366260296</v>
      </c>
      <c r="F243" s="300">
        <f>Verokompensaatiot[[#This Row],[Korvaukset vuosilta 2010-2023, €]]+Verokompensaatiot[[#This Row],[Veromenetysten korvaus 2024]]+Verokompensaatiot[[#This Row],[Veromenetysten korvaus 2025]]</f>
        <v>1344624.10020938</v>
      </c>
    </row>
    <row r="244" spans="1:6">
      <c r="A244" s="32">
        <v>762</v>
      </c>
      <c r="B244" s="13" t="s">
        <v>251</v>
      </c>
      <c r="C244" s="164">
        <v>890771.17347844271</v>
      </c>
      <c r="D244" s="164">
        <v>-5539.6239367263152</v>
      </c>
      <c r="E244" s="164">
        <v>-203843.79939483214</v>
      </c>
      <c r="F244" s="300">
        <f>Verokompensaatiot[[#This Row],[Korvaukset vuosilta 2010-2023, €]]+Verokompensaatiot[[#This Row],[Veromenetysten korvaus 2024]]+Verokompensaatiot[[#This Row],[Veromenetysten korvaus 2025]]</f>
        <v>681387.75014688424</v>
      </c>
    </row>
    <row r="245" spans="1:6">
      <c r="A245" s="32">
        <v>765</v>
      </c>
      <c r="B245" s="13" t="s">
        <v>252</v>
      </c>
      <c r="C245" s="164">
        <v>1887722.8527956754</v>
      </c>
      <c r="D245" s="164">
        <v>-25338.82072308183</v>
      </c>
      <c r="E245" s="164">
        <v>-589269.28482269868</v>
      </c>
      <c r="F245" s="300">
        <f>Verokompensaatiot[[#This Row],[Korvaukset vuosilta 2010-2023, €]]+Verokompensaatiot[[#This Row],[Veromenetysten korvaus 2024]]+Verokompensaatiot[[#This Row],[Veromenetysten korvaus 2025]]</f>
        <v>1273114.7472498948</v>
      </c>
    </row>
    <row r="246" spans="1:6">
      <c r="A246" s="32">
        <v>768</v>
      </c>
      <c r="B246" s="13" t="s">
        <v>253</v>
      </c>
      <c r="C246" s="164">
        <v>569415.54148617201</v>
      </c>
      <c r="D246" s="164">
        <v>-2063.4236582368912</v>
      </c>
      <c r="E246" s="164">
        <v>-109452.50876377375</v>
      </c>
      <c r="F246" s="300">
        <f>Verokompensaatiot[[#This Row],[Korvaukset vuosilta 2010-2023, €]]+Verokompensaatiot[[#This Row],[Veromenetysten korvaus 2024]]+Verokompensaatiot[[#This Row],[Veromenetysten korvaus 2025]]</f>
        <v>457899.60906416143</v>
      </c>
    </row>
    <row r="247" spans="1:6">
      <c r="A247" s="32">
        <v>777</v>
      </c>
      <c r="B247" s="13" t="s">
        <v>254</v>
      </c>
      <c r="C247" s="164">
        <v>1559568.3935236624</v>
      </c>
      <c r="D247" s="164">
        <v>-246.56918531909105</v>
      </c>
      <c r="E247" s="164">
        <v>-433845.04971439776</v>
      </c>
      <c r="F247" s="300">
        <f>Verokompensaatiot[[#This Row],[Korvaukset vuosilta 2010-2023, €]]+Verokompensaatiot[[#This Row],[Veromenetysten korvaus 2024]]+Verokompensaatiot[[#This Row],[Veromenetysten korvaus 2025]]</f>
        <v>1125476.7746239454</v>
      </c>
    </row>
    <row r="248" spans="1:6">
      <c r="A248" s="32">
        <v>778</v>
      </c>
      <c r="B248" s="13" t="s">
        <v>255</v>
      </c>
      <c r="C248" s="164">
        <v>1365028.5224604667</v>
      </c>
      <c r="D248" s="164">
        <v>-5890.9047256729646</v>
      </c>
      <c r="E248" s="164">
        <v>-438164.93262288981</v>
      </c>
      <c r="F248" s="300">
        <f>Verokompensaatiot[[#This Row],[Korvaukset vuosilta 2010-2023, €]]+Verokompensaatiot[[#This Row],[Veromenetysten korvaus 2024]]+Verokompensaatiot[[#This Row],[Veromenetysten korvaus 2025]]</f>
        <v>920972.68511190405</v>
      </c>
    </row>
    <row r="249" spans="1:6">
      <c r="A249" s="32">
        <v>781</v>
      </c>
      <c r="B249" s="13" t="s">
        <v>256</v>
      </c>
      <c r="C249" s="164">
        <v>805419.18893994577</v>
      </c>
      <c r="D249" s="164">
        <v>-3269.1115672129708</v>
      </c>
      <c r="E249" s="164">
        <v>-101543.37833462485</v>
      </c>
      <c r="F249" s="300">
        <f>Verokompensaatiot[[#This Row],[Korvaukset vuosilta 2010-2023, €]]+Verokompensaatiot[[#This Row],[Veromenetysten korvaus 2024]]+Verokompensaatiot[[#This Row],[Veromenetysten korvaus 2025]]</f>
        <v>700606.699038108</v>
      </c>
    </row>
    <row r="250" spans="1:6">
      <c r="A250" s="32">
        <v>783</v>
      </c>
      <c r="B250" s="13" t="s">
        <v>257</v>
      </c>
      <c r="C250" s="164">
        <v>1263911.4918444799</v>
      </c>
      <c r="D250" s="164">
        <v>-25297.668876097196</v>
      </c>
      <c r="E250" s="164">
        <v>-447475.59438220807</v>
      </c>
      <c r="F250" s="300">
        <f>Verokompensaatiot[[#This Row],[Korvaukset vuosilta 2010-2023, €]]+Verokompensaatiot[[#This Row],[Veromenetysten korvaus 2024]]+Verokompensaatiot[[#This Row],[Veromenetysten korvaus 2025]]</f>
        <v>791138.22858617455</v>
      </c>
    </row>
    <row r="251" spans="1:6">
      <c r="A251" s="32">
        <v>785</v>
      </c>
      <c r="B251" s="13" t="s">
        <v>258</v>
      </c>
      <c r="C251" s="164">
        <v>638365.88914082851</v>
      </c>
      <c r="D251" s="164">
        <v>-1738.7571173005672</v>
      </c>
      <c r="E251" s="164">
        <v>-128116.53445511423</v>
      </c>
      <c r="F251" s="300">
        <f>Verokompensaatiot[[#This Row],[Korvaukset vuosilta 2010-2023, €]]+Verokompensaatiot[[#This Row],[Veromenetysten korvaus 2024]]+Verokompensaatiot[[#This Row],[Veromenetysten korvaus 2025]]</f>
        <v>508510.59756841377</v>
      </c>
    </row>
    <row r="252" spans="1:6">
      <c r="A252" s="32">
        <v>790</v>
      </c>
      <c r="B252" s="13" t="s">
        <v>259</v>
      </c>
      <c r="C252" s="164">
        <v>4475838.6949382462</v>
      </c>
      <c r="D252" s="164">
        <v>-97637.420714441367</v>
      </c>
      <c r="E252" s="164">
        <v>-1509405.1027923718</v>
      </c>
      <c r="F252" s="300">
        <f>Verokompensaatiot[[#This Row],[Korvaukset vuosilta 2010-2023, €]]+Verokompensaatiot[[#This Row],[Veromenetysten korvaus 2024]]+Verokompensaatiot[[#This Row],[Veromenetysten korvaus 2025]]</f>
        <v>2868796.1714314325</v>
      </c>
    </row>
    <row r="253" spans="1:6">
      <c r="A253" s="32">
        <v>791</v>
      </c>
      <c r="B253" s="13" t="s">
        <v>260</v>
      </c>
      <c r="C253" s="164">
        <v>1262903.4928640015</v>
      </c>
      <c r="D253" s="164">
        <v>-3481.3071575720205</v>
      </c>
      <c r="E253" s="164">
        <v>-312531.99935596</v>
      </c>
      <c r="F253" s="300">
        <f>Verokompensaatiot[[#This Row],[Korvaukset vuosilta 2010-2023, €]]+Verokompensaatiot[[#This Row],[Veromenetysten korvaus 2024]]+Verokompensaatiot[[#This Row],[Veromenetysten korvaus 2025]]</f>
        <v>946890.18635046948</v>
      </c>
    </row>
    <row r="254" spans="1:6">
      <c r="A254" s="32">
        <v>831</v>
      </c>
      <c r="B254" s="13" t="s">
        <v>261</v>
      </c>
      <c r="C254" s="164">
        <v>695604.28385445755</v>
      </c>
      <c r="D254" s="164">
        <v>-18795.158042885178</v>
      </c>
      <c r="E254" s="164">
        <v>-271285.45782927575</v>
      </c>
      <c r="F254" s="300">
        <f>Verokompensaatiot[[#This Row],[Korvaukset vuosilta 2010-2023, €]]+Verokompensaatiot[[#This Row],[Veromenetysten korvaus 2024]]+Verokompensaatiot[[#This Row],[Veromenetysten korvaus 2025]]</f>
        <v>405523.66798229667</v>
      </c>
    </row>
    <row r="255" spans="1:6">
      <c r="A255" s="32">
        <v>832</v>
      </c>
      <c r="B255" s="13" t="s">
        <v>262</v>
      </c>
      <c r="C255" s="164">
        <v>765347.09521522536</v>
      </c>
      <c r="D255" s="164">
        <v>94.710858530927453</v>
      </c>
      <c r="E255" s="164">
        <v>-201798.95308235081</v>
      </c>
      <c r="F255" s="300">
        <f>Verokompensaatiot[[#This Row],[Korvaukset vuosilta 2010-2023, €]]+Verokompensaatiot[[#This Row],[Veromenetysten korvaus 2024]]+Verokompensaatiot[[#This Row],[Veromenetysten korvaus 2025]]</f>
        <v>563642.85299140553</v>
      </c>
    </row>
    <row r="256" spans="1:6">
      <c r="A256" s="32">
        <v>833</v>
      </c>
      <c r="B256" s="13" t="s">
        <v>263</v>
      </c>
      <c r="C256" s="164">
        <v>342281.76810028055</v>
      </c>
      <c r="D256" s="164">
        <v>-7185.6569388959533</v>
      </c>
      <c r="E256" s="164">
        <v>-75045.219039518808</v>
      </c>
      <c r="F256" s="300">
        <f>Verokompensaatiot[[#This Row],[Korvaukset vuosilta 2010-2023, €]]+Verokompensaatiot[[#This Row],[Veromenetysten korvaus 2024]]+Verokompensaatiot[[#This Row],[Veromenetysten korvaus 2025]]</f>
        <v>260050.89212186582</v>
      </c>
    </row>
    <row r="257" spans="1:6">
      <c r="A257" s="32">
        <v>834</v>
      </c>
      <c r="B257" s="13" t="s">
        <v>264</v>
      </c>
      <c r="C257" s="164">
        <v>1113721.6941235559</v>
      </c>
      <c r="D257" s="164">
        <v>-24717.224699091807</v>
      </c>
      <c r="E257" s="164">
        <v>-392439.64138661791</v>
      </c>
      <c r="F257" s="300">
        <f>Verokompensaatiot[[#This Row],[Korvaukset vuosilta 2010-2023, €]]+Verokompensaatiot[[#This Row],[Veromenetysten korvaus 2024]]+Verokompensaatiot[[#This Row],[Veromenetysten korvaus 2025]]</f>
        <v>696564.82803784613</v>
      </c>
    </row>
    <row r="258" spans="1:6">
      <c r="A258" s="32">
        <v>837</v>
      </c>
      <c r="B258" s="13" t="s">
        <v>265</v>
      </c>
      <c r="C258" s="164">
        <v>36300023.396053225</v>
      </c>
      <c r="D258" s="164">
        <v>420076.98405097169</v>
      </c>
      <c r="E258" s="164">
        <v>-14005664.15436466</v>
      </c>
      <c r="F258" s="300">
        <f>Verokompensaatiot[[#This Row],[Korvaukset vuosilta 2010-2023, €]]+Verokompensaatiot[[#This Row],[Veromenetysten korvaus 2024]]+Verokompensaatiot[[#This Row],[Veromenetysten korvaus 2025]]</f>
        <v>22714436.225739539</v>
      </c>
    </row>
    <row r="259" spans="1:6">
      <c r="A259" s="32">
        <v>844</v>
      </c>
      <c r="B259" s="13" t="s">
        <v>266</v>
      </c>
      <c r="C259" s="164">
        <v>367381.62735902192</v>
      </c>
      <c r="D259" s="164">
        <v>-8927.1742334659211</v>
      </c>
      <c r="E259" s="164">
        <v>-91075.855768940062</v>
      </c>
      <c r="F259" s="300">
        <f>Verokompensaatiot[[#This Row],[Korvaukset vuosilta 2010-2023, €]]+Verokompensaatiot[[#This Row],[Veromenetysten korvaus 2024]]+Verokompensaatiot[[#This Row],[Veromenetysten korvaus 2025]]</f>
        <v>267378.59735661594</v>
      </c>
    </row>
    <row r="260" spans="1:6">
      <c r="A260" s="32">
        <v>845</v>
      </c>
      <c r="B260" s="13" t="s">
        <v>267</v>
      </c>
      <c r="C260" s="164">
        <v>595425.26634182339</v>
      </c>
      <c r="D260" s="164">
        <v>-5597.3370576055113</v>
      </c>
      <c r="E260" s="164">
        <v>-124320.55044631576</v>
      </c>
      <c r="F260" s="300">
        <f>Verokompensaatiot[[#This Row],[Korvaukset vuosilta 2010-2023, €]]+Verokompensaatiot[[#This Row],[Veromenetysten korvaus 2024]]+Verokompensaatiot[[#This Row],[Veromenetysten korvaus 2025]]</f>
        <v>465507.3788379021</v>
      </c>
    </row>
    <row r="261" spans="1:6">
      <c r="A261" s="32">
        <v>846</v>
      </c>
      <c r="B261" s="13" t="s">
        <v>268</v>
      </c>
      <c r="C261" s="164">
        <v>1137822.754602755</v>
      </c>
      <c r="D261" s="164">
        <v>355.49147906483813</v>
      </c>
      <c r="E261" s="164">
        <v>-338967.54970535956</v>
      </c>
      <c r="F261" s="300">
        <f>Verokompensaatiot[[#This Row],[Korvaukset vuosilta 2010-2023, €]]+Verokompensaatiot[[#This Row],[Veromenetysten korvaus 2024]]+Verokompensaatiot[[#This Row],[Veromenetysten korvaus 2025]]</f>
        <v>799210.69637646014</v>
      </c>
    </row>
    <row r="262" spans="1:6">
      <c r="A262" s="32">
        <v>848</v>
      </c>
      <c r="B262" s="13" t="s">
        <v>269</v>
      </c>
      <c r="C262" s="164">
        <v>989321.16184801655</v>
      </c>
      <c r="D262" s="164">
        <v>-12471.088586874963</v>
      </c>
      <c r="E262" s="164">
        <v>-246192.74908801322</v>
      </c>
      <c r="F262" s="300">
        <f>Verokompensaatiot[[#This Row],[Korvaukset vuosilta 2010-2023, €]]+Verokompensaatiot[[#This Row],[Veromenetysten korvaus 2024]]+Verokompensaatiot[[#This Row],[Veromenetysten korvaus 2025]]</f>
        <v>730657.32417312835</v>
      </c>
    </row>
    <row r="263" spans="1:6">
      <c r="A263" s="32">
        <v>849</v>
      </c>
      <c r="B263" s="13" t="s">
        <v>270</v>
      </c>
      <c r="C263" s="164">
        <v>698965.11716177594</v>
      </c>
      <c r="D263" s="164">
        <v>-1960.3759419803773</v>
      </c>
      <c r="E263" s="164">
        <v>-191641.3083812992</v>
      </c>
      <c r="F263" s="300">
        <f>Verokompensaatiot[[#This Row],[Korvaukset vuosilta 2010-2023, €]]+Verokompensaatiot[[#This Row],[Veromenetysten korvaus 2024]]+Verokompensaatiot[[#This Row],[Veromenetysten korvaus 2025]]</f>
        <v>505363.43283849634</v>
      </c>
    </row>
    <row r="264" spans="1:6">
      <c r="A264" s="32">
        <v>850</v>
      </c>
      <c r="B264" s="13" t="s">
        <v>271</v>
      </c>
      <c r="C264" s="164">
        <v>420099.4296281893</v>
      </c>
      <c r="D264" s="164">
        <v>-16488.361190124262</v>
      </c>
      <c r="E264" s="164">
        <v>-154834.43046527714</v>
      </c>
      <c r="F264" s="300">
        <f>Verokompensaatiot[[#This Row],[Korvaukset vuosilta 2010-2023, €]]+Verokompensaatiot[[#This Row],[Veromenetysten korvaus 2024]]+Verokompensaatiot[[#This Row],[Veromenetysten korvaus 2025]]</f>
        <v>248776.63797278792</v>
      </c>
    </row>
    <row r="265" spans="1:6">
      <c r="A265" s="32">
        <v>851</v>
      </c>
      <c r="B265" s="13" t="s">
        <v>272</v>
      </c>
      <c r="C265" s="164">
        <v>3292338.6038466329</v>
      </c>
      <c r="D265" s="164">
        <v>-18714.073120874687</v>
      </c>
      <c r="E265" s="164">
        <v>-1362699.0545318827</v>
      </c>
      <c r="F265" s="300">
        <f>Verokompensaatiot[[#This Row],[Korvaukset vuosilta 2010-2023, €]]+Verokompensaatiot[[#This Row],[Veromenetysten korvaus 2024]]+Verokompensaatiot[[#This Row],[Veromenetysten korvaus 2025]]</f>
        <v>1910925.4761938753</v>
      </c>
    </row>
    <row r="266" spans="1:6">
      <c r="A266" s="32">
        <v>853</v>
      </c>
      <c r="B266" s="13" t="s">
        <v>273</v>
      </c>
      <c r="C266" s="164">
        <v>31340782.047305316</v>
      </c>
      <c r="D266" s="164">
        <v>374358.79328620632</v>
      </c>
      <c r="E266" s="164">
        <v>-9642199.7723697908</v>
      </c>
      <c r="F266" s="300">
        <f>Verokompensaatiot[[#This Row],[Korvaukset vuosilta 2010-2023, €]]+Verokompensaatiot[[#This Row],[Veromenetysten korvaus 2024]]+Verokompensaatiot[[#This Row],[Veromenetysten korvaus 2025]]</f>
        <v>22072941.068221733</v>
      </c>
    </row>
    <row r="267" spans="1:6">
      <c r="A267" s="32">
        <v>854</v>
      </c>
      <c r="B267" s="13" t="s">
        <v>274</v>
      </c>
      <c r="C267" s="164">
        <v>677713.52548992494</v>
      </c>
      <c r="D267" s="164">
        <v>-6669.4635548915649</v>
      </c>
      <c r="E267" s="164">
        <v>-194461.82630342356</v>
      </c>
      <c r="F267" s="300">
        <f>Verokompensaatiot[[#This Row],[Korvaukset vuosilta 2010-2023, €]]+Verokompensaatiot[[#This Row],[Veromenetysten korvaus 2024]]+Verokompensaatiot[[#This Row],[Veromenetysten korvaus 2025]]</f>
        <v>476582.23563160986</v>
      </c>
    </row>
    <row r="268" spans="1:6">
      <c r="A268" s="32">
        <v>857</v>
      </c>
      <c r="B268" s="13" t="s">
        <v>275</v>
      </c>
      <c r="C268" s="164">
        <v>527451.85057411972</v>
      </c>
      <c r="D268" s="164">
        <v>-8903.5198820928417</v>
      </c>
      <c r="E268" s="164">
        <v>-128938.53761183651</v>
      </c>
      <c r="F268" s="300">
        <f>Verokompensaatiot[[#This Row],[Korvaukset vuosilta 2010-2023, €]]+Verokompensaatiot[[#This Row],[Veromenetysten korvaus 2024]]+Verokompensaatiot[[#This Row],[Veromenetysten korvaus 2025]]</f>
        <v>389609.79308019037</v>
      </c>
    </row>
    <row r="269" spans="1:6">
      <c r="A269" s="32">
        <v>858</v>
      </c>
      <c r="B269" s="13" t="s">
        <v>276</v>
      </c>
      <c r="C269" s="164">
        <v>4629137.4877160415</v>
      </c>
      <c r="D269" s="164">
        <v>-106119.51493814212</v>
      </c>
      <c r="E269" s="164">
        <v>-2090479.5509983806</v>
      </c>
      <c r="F269" s="300">
        <f>Verokompensaatiot[[#This Row],[Korvaukset vuosilta 2010-2023, €]]+Verokompensaatiot[[#This Row],[Veromenetysten korvaus 2024]]+Verokompensaatiot[[#This Row],[Veromenetysten korvaus 2025]]</f>
        <v>2432538.4217795189</v>
      </c>
    </row>
    <row r="270" spans="1:6">
      <c r="A270" s="32">
        <v>859</v>
      </c>
      <c r="B270" s="13" t="s">
        <v>277</v>
      </c>
      <c r="C270" s="164">
        <v>968220.28774869489</v>
      </c>
      <c r="D270" s="164">
        <v>-24225.913534068655</v>
      </c>
      <c r="E270" s="164">
        <v>-508667.75812627911</v>
      </c>
      <c r="F270" s="300">
        <f>Verokompensaatiot[[#This Row],[Korvaukset vuosilta 2010-2023, €]]+Verokompensaatiot[[#This Row],[Veromenetysten korvaus 2024]]+Verokompensaatiot[[#This Row],[Veromenetysten korvaus 2025]]</f>
        <v>435326.61608834716</v>
      </c>
    </row>
    <row r="271" spans="1:6">
      <c r="A271" s="32">
        <v>886</v>
      </c>
      <c r="B271" s="13" t="s">
        <v>278</v>
      </c>
      <c r="C271" s="164">
        <v>1935332.8315087492</v>
      </c>
      <c r="D271" s="164">
        <v>-28088.924984773057</v>
      </c>
      <c r="E271" s="164">
        <v>-857332.49771067279</v>
      </c>
      <c r="F271" s="300">
        <f>Verokompensaatiot[[#This Row],[Korvaukset vuosilta 2010-2023, €]]+Verokompensaatiot[[#This Row],[Veromenetysten korvaus 2024]]+Verokompensaatiot[[#This Row],[Veromenetysten korvaus 2025]]</f>
        <v>1049911.4088133033</v>
      </c>
    </row>
    <row r="272" spans="1:6">
      <c r="A272" s="32">
        <v>887</v>
      </c>
      <c r="B272" s="13" t="s">
        <v>279</v>
      </c>
      <c r="C272" s="164">
        <v>1059397.7324163243</v>
      </c>
      <c r="D272" s="164">
        <v>-22137.603092433375</v>
      </c>
      <c r="E272" s="164">
        <v>-336912.08310568717</v>
      </c>
      <c r="F272" s="300">
        <f>Verokompensaatiot[[#This Row],[Korvaukset vuosilta 2010-2023, €]]+Verokompensaatiot[[#This Row],[Veromenetysten korvaus 2024]]+Verokompensaatiot[[#This Row],[Veromenetysten korvaus 2025]]</f>
        <v>700348.04621820373</v>
      </c>
    </row>
    <row r="273" spans="1:6">
      <c r="A273" s="32">
        <v>889</v>
      </c>
      <c r="B273" s="13" t="s">
        <v>280</v>
      </c>
      <c r="C273" s="164">
        <v>555205.31133360858</v>
      </c>
      <c r="D273" s="164">
        <v>-2221.0085262214507</v>
      </c>
      <c r="E273" s="164">
        <v>-140659.72943913887</v>
      </c>
      <c r="F273" s="300">
        <f>Verokompensaatiot[[#This Row],[Korvaukset vuosilta 2010-2023, €]]+Verokompensaatiot[[#This Row],[Veromenetysten korvaus 2024]]+Verokompensaatiot[[#This Row],[Veromenetysten korvaus 2025]]</f>
        <v>412324.57336824818</v>
      </c>
    </row>
    <row r="274" spans="1:6">
      <c r="A274" s="32">
        <v>890</v>
      </c>
      <c r="B274" s="13" t="s">
        <v>281</v>
      </c>
      <c r="C274" s="164">
        <v>234551.63909570267</v>
      </c>
      <c r="D274" s="164">
        <v>3171.3782403669902</v>
      </c>
      <c r="E274" s="164">
        <v>-70641.119062364931</v>
      </c>
      <c r="F274" s="300">
        <f>Verokompensaatiot[[#This Row],[Korvaukset vuosilta 2010-2023, €]]+Verokompensaatiot[[#This Row],[Veromenetysten korvaus 2024]]+Verokompensaatiot[[#This Row],[Veromenetysten korvaus 2025]]</f>
        <v>167081.89827370475</v>
      </c>
    </row>
    <row r="275" spans="1:6">
      <c r="A275" s="32">
        <v>892</v>
      </c>
      <c r="B275" s="13" t="s">
        <v>282</v>
      </c>
      <c r="C275" s="164">
        <v>596788.2530678059</v>
      </c>
      <c r="D275" s="164">
        <v>-17466.152090015872</v>
      </c>
      <c r="E275" s="164">
        <v>-240828.76290593675</v>
      </c>
      <c r="F275" s="300">
        <f>Verokompensaatiot[[#This Row],[Korvaukset vuosilta 2010-2023, €]]+Verokompensaatiot[[#This Row],[Veromenetysten korvaus 2024]]+Verokompensaatiot[[#This Row],[Veromenetysten korvaus 2025]]</f>
        <v>338493.33807185333</v>
      </c>
    </row>
    <row r="276" spans="1:6">
      <c r="A276" s="32">
        <v>893</v>
      </c>
      <c r="B276" s="13" t="s">
        <v>283</v>
      </c>
      <c r="C276" s="164">
        <v>1521040.3856361369</v>
      </c>
      <c r="D276" s="164">
        <v>-4529.8111347074046</v>
      </c>
      <c r="E276" s="164">
        <v>-512385.83324534015</v>
      </c>
      <c r="F276" s="300">
        <f>Verokompensaatiot[[#This Row],[Korvaukset vuosilta 2010-2023, €]]+Verokompensaatiot[[#This Row],[Veromenetysten korvaus 2024]]+Verokompensaatiot[[#This Row],[Veromenetysten korvaus 2025]]</f>
        <v>1004124.7412560893</v>
      </c>
    </row>
    <row r="277" spans="1:6">
      <c r="A277" s="32">
        <v>895</v>
      </c>
      <c r="B277" s="13" t="s">
        <v>284</v>
      </c>
      <c r="C277" s="164">
        <v>2613083.7152337562</v>
      </c>
      <c r="D277" s="164">
        <v>-9667.2574188193066</v>
      </c>
      <c r="E277" s="164">
        <v>-1112639.4957095217</v>
      </c>
      <c r="F277" s="300">
        <f>Verokompensaatiot[[#This Row],[Korvaukset vuosilta 2010-2023, €]]+Verokompensaatiot[[#This Row],[Veromenetysten korvaus 2024]]+Verokompensaatiot[[#This Row],[Veromenetysten korvaus 2025]]</f>
        <v>1490776.9621054153</v>
      </c>
    </row>
    <row r="278" spans="1:6">
      <c r="A278" s="32">
        <v>905</v>
      </c>
      <c r="B278" s="13" t="s">
        <v>285</v>
      </c>
      <c r="C278" s="164">
        <v>10466596.893593695</v>
      </c>
      <c r="D278" s="164">
        <v>120547.78794924309</v>
      </c>
      <c r="E278" s="164">
        <v>-4452744.6270315796</v>
      </c>
      <c r="F278" s="300">
        <f>Verokompensaatiot[[#This Row],[Korvaukset vuosilta 2010-2023, €]]+Verokompensaatiot[[#This Row],[Veromenetysten korvaus 2024]]+Verokompensaatiot[[#This Row],[Veromenetysten korvaus 2025]]</f>
        <v>6134400.054511359</v>
      </c>
    </row>
    <row r="279" spans="1:6">
      <c r="A279" s="32">
        <v>908</v>
      </c>
      <c r="B279" s="13" t="s">
        <v>286</v>
      </c>
      <c r="C279" s="164">
        <v>2924192.5603013141</v>
      </c>
      <c r="D279" s="164">
        <v>-60796.277065151095</v>
      </c>
      <c r="E279" s="164">
        <v>-1374058.9314505791</v>
      </c>
      <c r="F279" s="300">
        <f>Verokompensaatiot[[#This Row],[Korvaukset vuosilta 2010-2023, €]]+Verokompensaatiot[[#This Row],[Veromenetysten korvaus 2024]]+Verokompensaatiot[[#This Row],[Veromenetysten korvaus 2025]]</f>
        <v>1489337.3517855841</v>
      </c>
    </row>
    <row r="280" spans="1:6">
      <c r="A280" s="32">
        <v>915</v>
      </c>
      <c r="B280" s="13" t="s">
        <v>287</v>
      </c>
      <c r="C280" s="164">
        <v>3323029.3194958586</v>
      </c>
      <c r="D280" s="164">
        <v>-12555.937114786198</v>
      </c>
      <c r="E280" s="164">
        <v>-1186238.9663852437</v>
      </c>
      <c r="F280" s="300">
        <f>Verokompensaatiot[[#This Row],[Korvaukset vuosilta 2010-2023, €]]+Verokompensaatiot[[#This Row],[Veromenetysten korvaus 2024]]+Verokompensaatiot[[#This Row],[Veromenetysten korvaus 2025]]</f>
        <v>2124234.4159958288</v>
      </c>
    </row>
    <row r="281" spans="1:6">
      <c r="A281" s="32">
        <v>918</v>
      </c>
      <c r="B281" s="13" t="s">
        <v>288</v>
      </c>
      <c r="C281" s="164">
        <v>520627.62677149219</v>
      </c>
      <c r="D281" s="164">
        <v>-10490.84787955154</v>
      </c>
      <c r="E281" s="164">
        <v>-171658.14981182158</v>
      </c>
      <c r="F281" s="300">
        <f>Verokompensaatiot[[#This Row],[Korvaukset vuosilta 2010-2023, €]]+Verokompensaatiot[[#This Row],[Veromenetysten korvaus 2024]]+Verokompensaatiot[[#This Row],[Veromenetysten korvaus 2025]]</f>
        <v>338478.62908011908</v>
      </c>
    </row>
    <row r="282" spans="1:6">
      <c r="A282" s="32">
        <v>921</v>
      </c>
      <c r="B282" s="13" t="s">
        <v>289</v>
      </c>
      <c r="C282" s="164">
        <v>489090.13610551949</v>
      </c>
      <c r="D282" s="164">
        <v>738.96572517530785</v>
      </c>
      <c r="E282" s="164">
        <v>-100609.07048853693</v>
      </c>
      <c r="F282" s="300">
        <f>Verokompensaatiot[[#This Row],[Korvaukset vuosilta 2010-2023, €]]+Verokompensaatiot[[#This Row],[Veromenetysten korvaus 2024]]+Verokompensaatiot[[#This Row],[Veromenetysten korvaus 2025]]</f>
        <v>389220.03134215786</v>
      </c>
    </row>
    <row r="283" spans="1:6">
      <c r="A283" s="32">
        <v>922</v>
      </c>
      <c r="B283" s="13" t="s">
        <v>290</v>
      </c>
      <c r="C283" s="164">
        <v>723605.03246662044</v>
      </c>
      <c r="D283" s="164">
        <v>-26269.225509112926</v>
      </c>
      <c r="E283" s="164">
        <v>-321708.92965847545</v>
      </c>
      <c r="F283" s="300">
        <f>Verokompensaatiot[[#This Row],[Korvaukset vuosilta 2010-2023, €]]+Verokompensaatiot[[#This Row],[Veromenetysten korvaus 2024]]+Verokompensaatiot[[#This Row],[Veromenetysten korvaus 2025]]</f>
        <v>375626.87729903206</v>
      </c>
    </row>
    <row r="284" spans="1:6">
      <c r="A284" s="32">
        <v>924</v>
      </c>
      <c r="B284" s="13" t="s">
        <v>291</v>
      </c>
      <c r="C284" s="164">
        <v>723912.00203211629</v>
      </c>
      <c r="D284" s="164">
        <v>-3511.9560778691302</v>
      </c>
      <c r="E284" s="164">
        <v>-225441.45979728902</v>
      </c>
      <c r="F284" s="300">
        <f>Verokompensaatiot[[#This Row],[Korvaukset vuosilta 2010-2023, €]]+Verokompensaatiot[[#This Row],[Veromenetysten korvaus 2024]]+Verokompensaatiot[[#This Row],[Veromenetysten korvaus 2025]]</f>
        <v>494958.58615695813</v>
      </c>
    </row>
    <row r="285" spans="1:6">
      <c r="A285" s="32">
        <v>925</v>
      </c>
      <c r="B285" s="13" t="s">
        <v>292</v>
      </c>
      <c r="C285" s="164">
        <v>817536.66303129564</v>
      </c>
      <c r="D285" s="164">
        <v>2993.6838939091194</v>
      </c>
      <c r="E285" s="164">
        <v>-220361.28674938713</v>
      </c>
      <c r="F285" s="300">
        <f>Verokompensaatiot[[#This Row],[Korvaukset vuosilta 2010-2023, €]]+Verokompensaatiot[[#This Row],[Veromenetysten korvaus 2024]]+Verokompensaatiot[[#This Row],[Veromenetysten korvaus 2025]]</f>
        <v>600169.06017581758</v>
      </c>
    </row>
    <row r="286" spans="1:6">
      <c r="A286" s="32">
        <v>927</v>
      </c>
      <c r="B286" s="13" t="s">
        <v>293</v>
      </c>
      <c r="C286" s="164">
        <v>4188001.3455443028</v>
      </c>
      <c r="D286" s="164">
        <v>-159819.00281489795</v>
      </c>
      <c r="E286" s="164">
        <v>-1707086.1057847363</v>
      </c>
      <c r="F286" s="300">
        <f>Verokompensaatiot[[#This Row],[Korvaukset vuosilta 2010-2023, €]]+Verokompensaatiot[[#This Row],[Veromenetysten korvaus 2024]]+Verokompensaatiot[[#This Row],[Veromenetysten korvaus 2025]]</f>
        <v>2321096.2369446689</v>
      </c>
    </row>
    <row r="287" spans="1:6">
      <c r="A287" s="32">
        <v>931</v>
      </c>
      <c r="B287" s="13" t="s">
        <v>294</v>
      </c>
      <c r="C287" s="164">
        <v>1313012.965701743</v>
      </c>
      <c r="D287" s="164">
        <v>-3298.6731226030506</v>
      </c>
      <c r="E287" s="164">
        <v>-338198.78464229597</v>
      </c>
      <c r="F287" s="300">
        <f>Verokompensaatiot[[#This Row],[Korvaukset vuosilta 2010-2023, €]]+Verokompensaatiot[[#This Row],[Veromenetysten korvaus 2024]]+Verokompensaatiot[[#This Row],[Veromenetysten korvaus 2025]]</f>
        <v>971515.50793684414</v>
      </c>
    </row>
    <row r="288" spans="1:6">
      <c r="A288" s="32">
        <v>934</v>
      </c>
      <c r="B288" s="13" t="s">
        <v>295</v>
      </c>
      <c r="C288" s="164">
        <v>565563.69020306994</v>
      </c>
      <c r="D288" s="164">
        <v>-3664.599877405436</v>
      </c>
      <c r="E288" s="164">
        <v>-203464.07628972994</v>
      </c>
      <c r="F288" s="300">
        <f>Verokompensaatiot[[#This Row],[Korvaukset vuosilta 2010-2023, €]]+Verokompensaatiot[[#This Row],[Veromenetysten korvaus 2024]]+Verokompensaatiot[[#This Row],[Veromenetysten korvaus 2025]]</f>
        <v>358435.01403593458</v>
      </c>
    </row>
    <row r="289" spans="1:6">
      <c r="A289" s="32">
        <v>935</v>
      </c>
      <c r="B289" s="13" t="s">
        <v>296</v>
      </c>
      <c r="C289" s="164">
        <v>632603.8478659899</v>
      </c>
      <c r="D289" s="164">
        <v>-10116.522724127277</v>
      </c>
      <c r="E289" s="164">
        <v>-209655.56316407066</v>
      </c>
      <c r="F289" s="300">
        <f>Verokompensaatiot[[#This Row],[Korvaukset vuosilta 2010-2023, €]]+Verokompensaatiot[[#This Row],[Veromenetysten korvaus 2024]]+Verokompensaatiot[[#This Row],[Veromenetysten korvaus 2025]]</f>
        <v>412831.76197779196</v>
      </c>
    </row>
    <row r="290" spans="1:6">
      <c r="A290" s="32">
        <v>936</v>
      </c>
      <c r="B290" s="13" t="s">
        <v>297</v>
      </c>
      <c r="C290" s="164">
        <v>1423625.6235486302</v>
      </c>
      <c r="D290" s="164">
        <v>-7046.5084695038131</v>
      </c>
      <c r="E290" s="164">
        <v>-364822.84451510356</v>
      </c>
      <c r="F290" s="300">
        <f>Verokompensaatiot[[#This Row],[Korvaukset vuosilta 2010-2023, €]]+Verokompensaatiot[[#This Row],[Veromenetysten korvaus 2024]]+Verokompensaatiot[[#This Row],[Veromenetysten korvaus 2025]]</f>
        <v>1051756.2705640227</v>
      </c>
    </row>
    <row r="291" spans="1:6">
      <c r="A291" s="32">
        <v>946</v>
      </c>
      <c r="B291" s="13" t="s">
        <v>298</v>
      </c>
      <c r="C291" s="164">
        <v>1380218.5947131673</v>
      </c>
      <c r="D291" s="164">
        <v>-16183.450541126163</v>
      </c>
      <c r="E291" s="164">
        <v>-482623.4988778304</v>
      </c>
      <c r="F291" s="300">
        <f>Verokompensaatiot[[#This Row],[Korvaukset vuosilta 2010-2023, €]]+Verokompensaatiot[[#This Row],[Veromenetysten korvaus 2024]]+Verokompensaatiot[[#This Row],[Veromenetysten korvaus 2025]]</f>
        <v>881411.64529421087</v>
      </c>
    </row>
    <row r="292" spans="1:6">
      <c r="A292" s="32">
        <v>976</v>
      </c>
      <c r="B292" s="13" t="s">
        <v>299</v>
      </c>
      <c r="C292" s="164">
        <v>829621.10435336339</v>
      </c>
      <c r="D292" s="164">
        <v>-6850.0211902480742</v>
      </c>
      <c r="E292" s="164">
        <v>-202804.91809796626</v>
      </c>
      <c r="F292" s="300">
        <f>Verokompensaatiot[[#This Row],[Korvaukset vuosilta 2010-2023, €]]+Verokompensaatiot[[#This Row],[Veromenetysten korvaus 2024]]+Verokompensaatiot[[#This Row],[Veromenetysten korvaus 2025]]</f>
        <v>619966.16506514908</v>
      </c>
    </row>
    <row r="293" spans="1:6">
      <c r="A293" s="32">
        <v>977</v>
      </c>
      <c r="B293" s="13" t="s">
        <v>300</v>
      </c>
      <c r="C293" s="164">
        <v>2434887.9310677741</v>
      </c>
      <c r="D293" s="164">
        <v>-1474.647877423824</v>
      </c>
      <c r="E293" s="164">
        <v>-1332501.8557925238</v>
      </c>
      <c r="F293" s="300">
        <f>Verokompensaatiot[[#This Row],[Korvaukset vuosilta 2010-2023, €]]+Verokompensaatiot[[#This Row],[Veromenetysten korvaus 2024]]+Verokompensaatiot[[#This Row],[Veromenetysten korvaus 2025]]</f>
        <v>1100911.4273978262</v>
      </c>
    </row>
    <row r="294" spans="1:6">
      <c r="A294" s="32">
        <v>980</v>
      </c>
      <c r="B294" s="13" t="s">
        <v>301</v>
      </c>
      <c r="C294" s="164">
        <v>4320934.4172466155</v>
      </c>
      <c r="D294" s="164">
        <v>-99965.103571664047</v>
      </c>
      <c r="E294" s="164">
        <v>-2197414.7269369164</v>
      </c>
      <c r="F294" s="300">
        <f>Verokompensaatiot[[#This Row],[Korvaukset vuosilta 2010-2023, €]]+Verokompensaatiot[[#This Row],[Veromenetysten korvaus 2024]]+Verokompensaatiot[[#This Row],[Veromenetysten korvaus 2025]]</f>
        <v>2023554.5867380355</v>
      </c>
    </row>
    <row r="295" spans="1:6">
      <c r="A295" s="32">
        <v>981</v>
      </c>
      <c r="B295" s="13" t="s">
        <v>302</v>
      </c>
      <c r="C295" s="164">
        <v>512319.97658165707</v>
      </c>
      <c r="D295" s="164">
        <v>-5725.0016940501655</v>
      </c>
      <c r="E295" s="164">
        <v>-165951.40037597399</v>
      </c>
      <c r="F295" s="300">
        <f>Verokompensaatiot[[#This Row],[Korvaukset vuosilta 2010-2023, €]]+Verokompensaatiot[[#This Row],[Veromenetysten korvaus 2024]]+Verokompensaatiot[[#This Row],[Veromenetysten korvaus 2025]]</f>
        <v>340643.57451163291</v>
      </c>
    </row>
    <row r="296" spans="1:6">
      <c r="A296" s="32">
        <v>989</v>
      </c>
      <c r="B296" s="13" t="s">
        <v>303</v>
      </c>
      <c r="C296" s="164">
        <v>1159091.2377425535</v>
      </c>
      <c r="D296" s="164">
        <v>-8814.1020562735011</v>
      </c>
      <c r="E296" s="164">
        <v>-393072.87106353045</v>
      </c>
      <c r="F296" s="300">
        <f>Verokompensaatiot[[#This Row],[Korvaukset vuosilta 2010-2023, €]]+Verokompensaatiot[[#This Row],[Veromenetysten korvaus 2024]]+Verokompensaatiot[[#This Row],[Veromenetysten korvaus 2025]]</f>
        <v>757204.26462274953</v>
      </c>
    </row>
    <row r="297" spans="1:6">
      <c r="A297" s="32">
        <v>992</v>
      </c>
      <c r="B297" s="13" t="s">
        <v>304</v>
      </c>
      <c r="C297" s="164">
        <v>2981917.2262499053</v>
      </c>
      <c r="D297" s="164">
        <v>-47616.011511176992</v>
      </c>
      <c r="E297" s="164">
        <v>-1238360.9247010613</v>
      </c>
      <c r="F297" s="300">
        <f>Verokompensaatiot[[#This Row],[Korvaukset vuosilta 2010-2023, €]]+Verokompensaatiot[[#This Row],[Veromenetysten korvaus 2024]]+Verokompensaatiot[[#This Row],[Veromenetysten korvaus 2025]]</f>
        <v>1695940.2900376671</v>
      </c>
    </row>
    <row r="298" spans="1:6">
      <c r="A298" s="302"/>
    </row>
  </sheetData>
  <pageMargins left="0.7" right="0.7" top="0.75" bottom="0.75" header="0.3" footer="0.3"/>
  <pageSetup paperSize="9" orientation="portrait" r:id="rId1"/>
  <ignoredErrors>
    <ignoredError sqref="F4:F297"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Q304"/>
  <sheetViews>
    <sheetView zoomScale="90" zoomScaleNormal="90" workbookViewId="0"/>
  </sheetViews>
  <sheetFormatPr defaultColWidth="9" defaultRowHeight="14.25"/>
  <cols>
    <col min="1" max="1" width="11.5" style="474" customWidth="1"/>
    <col min="2" max="2" width="15.625" style="474" bestFit="1" customWidth="1"/>
    <col min="3" max="3" width="13.625" style="474" customWidth="1"/>
    <col min="4" max="4" width="17" style="474" customWidth="1"/>
    <col min="5" max="5" width="14.625" style="474" customWidth="1"/>
    <col min="6" max="6" width="9" style="474"/>
    <col min="7" max="7" width="15.625" style="474" customWidth="1"/>
    <col min="8" max="8" width="17" style="474" customWidth="1"/>
    <col min="9" max="10" width="13.375" style="474" customWidth="1"/>
    <col min="11" max="11" width="13.375" style="495" customWidth="1"/>
    <col min="12" max="12" width="20.375" style="474" customWidth="1"/>
    <col min="13" max="13" width="25.75" style="474" customWidth="1"/>
    <col min="14" max="14" width="22.375" style="474" customWidth="1"/>
    <col min="15" max="15" width="19.125" style="474" customWidth="1"/>
    <col min="17" max="17" width="20.875" style="474" customWidth="1"/>
    <col min="18" max="16384" width="9" style="474"/>
  </cols>
  <sheetData>
    <row r="1" spans="1:17" ht="23.25">
      <c r="A1" s="314" t="s">
        <v>953</v>
      </c>
      <c r="P1" s="474"/>
    </row>
    <row r="2" spans="1:17">
      <c r="A2" t="s">
        <v>955</v>
      </c>
      <c r="P2" s="474"/>
    </row>
    <row r="3" spans="1:17">
      <c r="A3" t="s">
        <v>956</v>
      </c>
      <c r="P3" s="474"/>
    </row>
    <row r="4" spans="1:17" ht="12.75">
      <c r="A4" s="474" t="s">
        <v>954</v>
      </c>
      <c r="P4" s="474"/>
    </row>
    <row r="5" spans="1:17" ht="12.75">
      <c r="P5" s="474"/>
    </row>
    <row r="6" spans="1:17" ht="12.75">
      <c r="A6" s="450" t="s">
        <v>367</v>
      </c>
      <c r="G6" s="474" t="s">
        <v>924</v>
      </c>
      <c r="H6" s="474" t="s">
        <v>925</v>
      </c>
      <c r="I6" s="474" t="s">
        <v>926</v>
      </c>
      <c r="P6" s="474"/>
    </row>
    <row r="7" spans="1:17" ht="12.75">
      <c r="G7" s="450">
        <v>96.01</v>
      </c>
      <c r="H7" s="450">
        <v>844.58</v>
      </c>
      <c r="I7" s="450">
        <v>59.25</v>
      </c>
      <c r="J7" s="450"/>
      <c r="K7" s="496"/>
      <c r="P7" s="474"/>
    </row>
    <row r="9" spans="1:17" ht="12.75">
      <c r="A9" s="475" t="s">
        <v>927</v>
      </c>
      <c r="G9" s="475" t="s">
        <v>940</v>
      </c>
      <c r="L9" s="475" t="s">
        <v>938</v>
      </c>
      <c r="P9" s="474"/>
    </row>
    <row r="10" spans="1:17" ht="72.75" customHeight="1">
      <c r="A10" s="476" t="s">
        <v>890</v>
      </c>
      <c r="B10" s="476" t="s">
        <v>3</v>
      </c>
      <c r="C10" s="469" t="s">
        <v>930</v>
      </c>
      <c r="D10" s="469" t="s">
        <v>931</v>
      </c>
      <c r="E10" s="469" t="s">
        <v>932</v>
      </c>
      <c r="G10" s="488" t="s">
        <v>928</v>
      </c>
      <c r="H10" s="489" t="s">
        <v>860</v>
      </c>
      <c r="I10" s="490" t="s">
        <v>929</v>
      </c>
      <c r="J10" s="489" t="s">
        <v>375</v>
      </c>
      <c r="K10" s="497"/>
      <c r="L10" s="501" t="s">
        <v>937</v>
      </c>
      <c r="M10" s="502" t="s">
        <v>939</v>
      </c>
      <c r="N10" s="502" t="s">
        <v>946</v>
      </c>
      <c r="O10" s="503" t="s">
        <v>945</v>
      </c>
      <c r="P10" s="474"/>
      <c r="Q10" s="512" t="s">
        <v>952</v>
      </c>
    </row>
    <row r="11" spans="1:17" s="450" customFormat="1" ht="12.75">
      <c r="B11" s="450" t="s">
        <v>897</v>
      </c>
      <c r="C11" s="471">
        <f>SUM(C12:C304)</f>
        <v>3255053</v>
      </c>
      <c r="D11" s="471">
        <f>SUM(D12:D304)</f>
        <v>370040</v>
      </c>
      <c r="E11" s="471">
        <f t="shared" ref="E11" si="0">SUM(E12:E304)</f>
        <v>555250</v>
      </c>
      <c r="G11" s="491">
        <f>SUM(G12:G304)</f>
        <v>312517638.52999991</v>
      </c>
      <c r="H11" s="491">
        <f t="shared" ref="H11:Q11" si="1">SUM(H12:H304)</f>
        <v>312528383.19999999</v>
      </c>
      <c r="I11" s="491">
        <f t="shared" si="1"/>
        <v>32898562.5</v>
      </c>
      <c r="J11" s="492">
        <f t="shared" si="1"/>
        <v>657944584.23000038</v>
      </c>
      <c r="K11" s="498"/>
      <c r="L11" s="504">
        <v>328976999.99999976</v>
      </c>
      <c r="M11" s="500">
        <f t="shared" si="1"/>
        <v>-328972292.11500019</v>
      </c>
      <c r="N11" s="500">
        <f t="shared" si="1"/>
        <v>4707.8849998356309</v>
      </c>
      <c r="O11" s="509">
        <f t="shared" si="1"/>
        <v>657949292.11499989</v>
      </c>
      <c r="Q11" s="513">
        <f t="shared" si="1"/>
        <v>-51136882.629999988</v>
      </c>
    </row>
    <row r="12" spans="1:17" ht="12.75">
      <c r="A12" s="474">
        <v>5</v>
      </c>
      <c r="B12" s="474" t="s">
        <v>12</v>
      </c>
      <c r="C12" s="459">
        <v>4453</v>
      </c>
      <c r="D12" s="459">
        <v>411</v>
      </c>
      <c r="E12" s="459">
        <v>410</v>
      </c>
      <c r="G12" s="493">
        <f>Taulukko3[[#This Row],[Väestö, 18-64-vuotiaat (2023)]]*Taulukko4[Perushinnat, €]</f>
        <v>427532.53</v>
      </c>
      <c r="H12" s="461">
        <f>Taulukko3[[#This Row],[Työttömät ja palveluissa olevat (2023)]]*Taulukko4[[ ]]</f>
        <v>347122.38</v>
      </c>
      <c r="I12" s="461">
        <f>Taulukko3[[#This Row],[Vieraskieliset (2023)]]*Taulukko4[[  ]]</f>
        <v>24292.5</v>
      </c>
      <c r="J12" s="494">
        <f>SUM('TE25 Palveluiden rahoitus'!$G12:$I12)</f>
        <v>798947.41</v>
      </c>
      <c r="K12" s="499"/>
      <c r="L12" s="505">
        <v>513286.45798254822</v>
      </c>
      <c r="M12" s="458">
        <f>'TE25 Palveluiden rahoitus'!$J12*-0.5</f>
        <v>-399473.70500000002</v>
      </c>
      <c r="N12" s="458">
        <f>L12+M12</f>
        <v>113812.75298254821</v>
      </c>
      <c r="O12" s="510">
        <f>J12+L12+M12</f>
        <v>912760.16298254812</v>
      </c>
      <c r="P12" s="474"/>
      <c r="Q12" s="514">
        <v>-69956.63</v>
      </c>
    </row>
    <row r="13" spans="1:17" ht="12.75">
      <c r="A13" s="474">
        <v>9</v>
      </c>
      <c r="B13" s="474" t="s">
        <v>13</v>
      </c>
      <c r="C13" s="459">
        <v>1225</v>
      </c>
      <c r="D13" s="459">
        <v>123</v>
      </c>
      <c r="E13" s="459">
        <v>47</v>
      </c>
      <c r="G13" s="493">
        <f>Taulukko3[[#This Row],[Väestö, 18-64-vuotiaat (2023)]]*Taulukko4[Perushinnat, €]</f>
        <v>117612.25</v>
      </c>
      <c r="H13" s="461">
        <f>Taulukko3[[#This Row],[Työttömät ja palveluissa olevat (2023)]]*Taulukko4[[ ]]</f>
        <v>103883.34000000001</v>
      </c>
      <c r="I13" s="461">
        <f>Taulukko3[[#This Row],[Vieraskieliset (2023)]]*Taulukko4[[  ]]</f>
        <v>2784.75</v>
      </c>
      <c r="J13" s="494">
        <f>SUM('TE25 Palveluiden rahoitus'!$G13:$I13)</f>
        <v>224280.34000000003</v>
      </c>
      <c r="K13" s="499"/>
      <c r="L13" s="505">
        <v>120549.14140788566</v>
      </c>
      <c r="M13" s="458">
        <f>'TE25 Palveluiden rahoitus'!$J13*-0.5</f>
        <v>-112140.17000000001</v>
      </c>
      <c r="N13" s="458">
        <f t="shared" ref="N13:N76" si="2">L13+M13</f>
        <v>8408.9714078856487</v>
      </c>
      <c r="O13" s="510">
        <f t="shared" ref="O13:O76" si="3">J13+L13+M13</f>
        <v>232689.31140788566</v>
      </c>
      <c r="P13" s="474"/>
      <c r="Q13" s="514">
        <v>-19244.75</v>
      </c>
    </row>
    <row r="14" spans="1:17" ht="12.75">
      <c r="A14" s="474">
        <v>10</v>
      </c>
      <c r="B14" s="474" t="s">
        <v>14</v>
      </c>
      <c r="C14" s="459">
        <v>5510</v>
      </c>
      <c r="D14" s="459">
        <v>514</v>
      </c>
      <c r="E14" s="459">
        <v>278</v>
      </c>
      <c r="G14" s="493">
        <f>Taulukko3[[#This Row],[Väestö, 18-64-vuotiaat (2023)]]*Taulukko4[Perushinnat, €]</f>
        <v>529015.1</v>
      </c>
      <c r="H14" s="461">
        <f>Taulukko3[[#This Row],[Työttömät ja palveluissa olevat (2023)]]*Taulukko4[[ ]]</f>
        <v>434114.12</v>
      </c>
      <c r="I14" s="461">
        <f>Taulukko3[[#This Row],[Vieraskieliset (2023)]]*Taulukko4[[  ]]</f>
        <v>16471.5</v>
      </c>
      <c r="J14" s="494">
        <f>SUM('TE25 Palveluiden rahoitus'!$G14:$I14)</f>
        <v>979600.72</v>
      </c>
      <c r="K14" s="499"/>
      <c r="L14" s="505">
        <v>565956.77407049597</v>
      </c>
      <c r="M14" s="458">
        <f>'TE25 Palveluiden rahoitus'!$J14*-0.5</f>
        <v>-489800.36</v>
      </c>
      <c r="N14" s="458">
        <f t="shared" si="2"/>
        <v>76156.414070495986</v>
      </c>
      <c r="O14" s="510">
        <f t="shared" si="3"/>
        <v>1055757.1340704961</v>
      </c>
      <c r="P14" s="474"/>
      <c r="Q14" s="514">
        <v>-86562.1</v>
      </c>
    </row>
    <row r="15" spans="1:17" ht="12.75">
      <c r="A15" s="474">
        <v>16</v>
      </c>
      <c r="B15" s="474" t="s">
        <v>15</v>
      </c>
      <c r="C15" s="459">
        <v>3847</v>
      </c>
      <c r="D15" s="459">
        <v>414</v>
      </c>
      <c r="E15" s="459">
        <v>257</v>
      </c>
      <c r="G15" s="493">
        <f>Taulukko3[[#This Row],[Väestö, 18-64-vuotiaat (2023)]]*Taulukko4[Perushinnat, €]</f>
        <v>369350.47000000003</v>
      </c>
      <c r="H15" s="461">
        <f>Taulukko3[[#This Row],[Työttömät ja palveluissa olevat (2023)]]*Taulukko4[[ ]]</f>
        <v>349656.12</v>
      </c>
      <c r="I15" s="461">
        <f>Taulukko3[[#This Row],[Vieraskieliset (2023)]]*Taulukko4[[  ]]</f>
        <v>15227.25</v>
      </c>
      <c r="J15" s="494">
        <f>SUM('TE25 Palveluiden rahoitus'!$G15:$I15)</f>
        <v>734233.84000000008</v>
      </c>
      <c r="K15" s="499"/>
      <c r="L15" s="505">
        <v>422078.13054560678</v>
      </c>
      <c r="M15" s="458">
        <f>'TE25 Palveluiden rahoitus'!$J15*-0.5</f>
        <v>-367116.92000000004</v>
      </c>
      <c r="N15" s="458">
        <f t="shared" si="2"/>
        <v>54961.210545606737</v>
      </c>
      <c r="O15" s="510">
        <f t="shared" si="3"/>
        <v>789195.05054560688</v>
      </c>
      <c r="P15" s="474"/>
      <c r="Q15" s="514">
        <v>-60436.37</v>
      </c>
    </row>
    <row r="16" spans="1:17" ht="12.75">
      <c r="A16" s="474">
        <v>18</v>
      </c>
      <c r="B16" s="474" t="s">
        <v>16</v>
      </c>
      <c r="C16" s="459">
        <v>2648</v>
      </c>
      <c r="D16" s="459">
        <v>209</v>
      </c>
      <c r="E16" s="459">
        <v>184</v>
      </c>
      <c r="G16" s="493">
        <f>Taulukko3[[#This Row],[Väestö, 18-64-vuotiaat (2023)]]*Taulukko4[Perushinnat, €]</f>
        <v>254234.48</v>
      </c>
      <c r="H16" s="461">
        <f>Taulukko3[[#This Row],[Työttömät ja palveluissa olevat (2023)]]*Taulukko4[[ ]]</f>
        <v>176517.22</v>
      </c>
      <c r="I16" s="461">
        <f>Taulukko3[[#This Row],[Vieraskieliset (2023)]]*Taulukko4[[  ]]</f>
        <v>10902</v>
      </c>
      <c r="J16" s="494">
        <f>SUM('TE25 Palveluiden rahoitus'!$G16:$I16)</f>
        <v>441653.7</v>
      </c>
      <c r="K16" s="499"/>
      <c r="L16" s="505">
        <v>175064.94527545551</v>
      </c>
      <c r="M16" s="458">
        <f>'TE25 Palveluiden rahoitus'!$J16*-0.5</f>
        <v>-220826.85</v>
      </c>
      <c r="N16" s="458">
        <f t="shared" si="2"/>
        <v>-45761.904724544496</v>
      </c>
      <c r="O16" s="510">
        <f t="shared" si="3"/>
        <v>395891.79527545557</v>
      </c>
      <c r="P16" s="474"/>
      <c r="Q16" s="514">
        <v>-41600.080000000002</v>
      </c>
    </row>
    <row r="17" spans="1:17" ht="12.75">
      <c r="A17" s="474">
        <v>19</v>
      </c>
      <c r="B17" s="474" t="s">
        <v>17</v>
      </c>
      <c r="C17" s="459">
        <v>2192</v>
      </c>
      <c r="D17" s="459">
        <v>156</v>
      </c>
      <c r="E17" s="459">
        <v>115</v>
      </c>
      <c r="G17" s="493">
        <f>Taulukko3[[#This Row],[Väestö, 18-64-vuotiaat (2023)]]*Taulukko4[Perushinnat, €]</f>
        <v>210453.92</v>
      </c>
      <c r="H17" s="461">
        <f>Taulukko3[[#This Row],[Työttömät ja palveluissa olevat (2023)]]*Taulukko4[[ ]]</f>
        <v>131754.48000000001</v>
      </c>
      <c r="I17" s="461">
        <f>Taulukko3[[#This Row],[Vieraskieliset (2023)]]*Taulukko4[[  ]]</f>
        <v>6813.75</v>
      </c>
      <c r="J17" s="494">
        <f>SUM('TE25 Palveluiden rahoitus'!$G17:$I17)</f>
        <v>349022.15</v>
      </c>
      <c r="K17" s="499"/>
      <c r="L17" s="505">
        <v>155002.73968433149</v>
      </c>
      <c r="M17" s="458">
        <f>'TE25 Palveluiden rahoitus'!$J17*-0.5</f>
        <v>-174511.07500000001</v>
      </c>
      <c r="N17" s="458">
        <f t="shared" si="2"/>
        <v>-19508.335315668519</v>
      </c>
      <c r="O17" s="510">
        <f t="shared" si="3"/>
        <v>329513.81468433148</v>
      </c>
      <c r="P17" s="474"/>
      <c r="Q17" s="514">
        <v>-34436.32</v>
      </c>
    </row>
    <row r="18" spans="1:17" ht="12.75">
      <c r="A18" s="474">
        <v>20</v>
      </c>
      <c r="B18" s="474" t="s">
        <v>18</v>
      </c>
      <c r="C18" s="459">
        <v>9032</v>
      </c>
      <c r="D18" s="459">
        <v>1024</v>
      </c>
      <c r="E18" s="459">
        <v>492</v>
      </c>
      <c r="G18" s="493">
        <f>Taulukko3[[#This Row],[Väestö, 18-64-vuotiaat (2023)]]*Taulukko4[Perushinnat, €]</f>
        <v>867162.32000000007</v>
      </c>
      <c r="H18" s="461">
        <f>Taulukko3[[#This Row],[Työttömät ja palveluissa olevat (2023)]]*Taulukko4[[ ]]</f>
        <v>864849.92000000004</v>
      </c>
      <c r="I18" s="461">
        <f>Taulukko3[[#This Row],[Vieraskieliset (2023)]]*Taulukko4[[  ]]</f>
        <v>29151</v>
      </c>
      <c r="J18" s="494">
        <f>SUM('TE25 Palveluiden rahoitus'!$G18:$I18)</f>
        <v>1761163.2400000002</v>
      </c>
      <c r="K18" s="499"/>
      <c r="L18" s="505">
        <v>878630.69219815999</v>
      </c>
      <c r="M18" s="458">
        <f>'TE25 Palveluiden rahoitus'!$J18*-0.5</f>
        <v>-880581.62000000011</v>
      </c>
      <c r="N18" s="458">
        <f t="shared" si="2"/>
        <v>-1950.9278018401237</v>
      </c>
      <c r="O18" s="510">
        <f t="shared" si="3"/>
        <v>1759212.3121981602</v>
      </c>
      <c r="P18" s="474"/>
      <c r="Q18" s="514">
        <v>-141892.72</v>
      </c>
    </row>
    <row r="19" spans="1:17" ht="12.75">
      <c r="A19" s="474">
        <v>46</v>
      </c>
      <c r="B19" s="474" t="s">
        <v>19</v>
      </c>
      <c r="C19" s="459">
        <v>611</v>
      </c>
      <c r="D19" s="459">
        <v>66</v>
      </c>
      <c r="E19" s="459">
        <v>49</v>
      </c>
      <c r="G19" s="493">
        <f>Taulukko3[[#This Row],[Väestö, 18-64-vuotiaat (2023)]]*Taulukko4[Perushinnat, €]</f>
        <v>58662.11</v>
      </c>
      <c r="H19" s="461">
        <f>Taulukko3[[#This Row],[Työttömät ja palveluissa olevat (2023)]]*Taulukko4[[ ]]</f>
        <v>55742.280000000006</v>
      </c>
      <c r="I19" s="461">
        <f>Taulukko3[[#This Row],[Vieraskieliset (2023)]]*Taulukko4[[  ]]</f>
        <v>2903.25</v>
      </c>
      <c r="J19" s="494">
        <f>SUM('TE25 Palveluiden rahoitus'!$G19:$I19)</f>
        <v>117307.64000000001</v>
      </c>
      <c r="K19" s="499"/>
      <c r="L19" s="505">
        <v>109042.60578628296</v>
      </c>
      <c r="M19" s="458">
        <f>'TE25 Palveluiden rahoitus'!$J19*-0.5</f>
        <v>-58653.820000000007</v>
      </c>
      <c r="N19" s="458">
        <f t="shared" si="2"/>
        <v>50388.785786282955</v>
      </c>
      <c r="O19" s="510">
        <f t="shared" si="3"/>
        <v>167696.42578628298</v>
      </c>
      <c r="P19" s="474"/>
      <c r="Q19" s="514">
        <v>-9598.8100000000013</v>
      </c>
    </row>
    <row r="20" spans="1:17" ht="12.75">
      <c r="A20" s="474">
        <v>47</v>
      </c>
      <c r="B20" s="474" t="s">
        <v>20</v>
      </c>
      <c r="C20" s="459">
        <v>957</v>
      </c>
      <c r="D20" s="459">
        <v>133</v>
      </c>
      <c r="E20" s="459">
        <v>59</v>
      </c>
      <c r="G20" s="493">
        <f>Taulukko3[[#This Row],[Väestö, 18-64-vuotiaat (2023)]]*Taulukko4[Perushinnat, €]</f>
        <v>91881.57</v>
      </c>
      <c r="H20" s="461">
        <f>Taulukko3[[#This Row],[Työttömät ja palveluissa olevat (2023)]]*Taulukko4[[ ]]</f>
        <v>112329.14</v>
      </c>
      <c r="I20" s="461">
        <f>Taulukko3[[#This Row],[Vieraskieliset (2023)]]*Taulukko4[[  ]]</f>
        <v>3495.75</v>
      </c>
      <c r="J20" s="494">
        <f>SUM('TE25 Palveluiden rahoitus'!$G20:$I20)</f>
        <v>207706.46000000002</v>
      </c>
      <c r="K20" s="499"/>
      <c r="L20" s="505">
        <v>147753.96986913309</v>
      </c>
      <c r="M20" s="458">
        <f>'TE25 Palveluiden rahoitus'!$J20*-0.5</f>
        <v>-103853.23000000001</v>
      </c>
      <c r="N20" s="458">
        <f t="shared" si="2"/>
        <v>43900.739869133075</v>
      </c>
      <c r="O20" s="510">
        <f t="shared" si="3"/>
        <v>251607.1998691331</v>
      </c>
      <c r="P20" s="474"/>
      <c r="Q20" s="514">
        <v>-15034.470000000001</v>
      </c>
    </row>
    <row r="21" spans="1:17" ht="12.75">
      <c r="A21" s="474">
        <v>49</v>
      </c>
      <c r="B21" s="474" t="s">
        <v>21</v>
      </c>
      <c r="C21" s="459">
        <v>199024</v>
      </c>
      <c r="D21" s="459">
        <v>19667</v>
      </c>
      <c r="E21" s="459">
        <v>74204</v>
      </c>
      <c r="G21" s="493">
        <f>Taulukko3[[#This Row],[Väestö, 18-64-vuotiaat (2023)]]*Taulukko4[Perushinnat, €]</f>
        <v>19108294.240000002</v>
      </c>
      <c r="H21" s="461">
        <f>Taulukko3[[#This Row],[Työttömät ja palveluissa olevat (2023)]]*Taulukko4[[ ]]</f>
        <v>16610354.860000001</v>
      </c>
      <c r="I21" s="461">
        <f>Taulukko3[[#This Row],[Vieraskieliset (2023)]]*Taulukko4[[  ]]</f>
        <v>4396587</v>
      </c>
      <c r="J21" s="494">
        <f>SUM('TE25 Palveluiden rahoitus'!$G21:$I21)</f>
        <v>40115236.100000001</v>
      </c>
      <c r="K21" s="499"/>
      <c r="L21" s="505">
        <v>13766113.988000067</v>
      </c>
      <c r="M21" s="458">
        <f>'TE25 Palveluiden rahoitus'!$J21*-0.5</f>
        <v>-20057618.050000001</v>
      </c>
      <c r="N21" s="458">
        <f t="shared" si="2"/>
        <v>-6291504.0619999338</v>
      </c>
      <c r="O21" s="510">
        <f t="shared" si="3"/>
        <v>33823732.038000062</v>
      </c>
      <c r="P21" s="474"/>
      <c r="Q21" s="514">
        <v>-3126667.04</v>
      </c>
    </row>
    <row r="22" spans="1:17" ht="12.75">
      <c r="A22" s="474">
        <v>50</v>
      </c>
      <c r="B22" s="474" t="s">
        <v>22</v>
      </c>
      <c r="C22" s="459">
        <v>5891</v>
      </c>
      <c r="D22" s="459">
        <v>460</v>
      </c>
      <c r="E22" s="459">
        <v>486</v>
      </c>
      <c r="G22" s="493">
        <f>Taulukko3[[#This Row],[Väestö, 18-64-vuotiaat (2023)]]*Taulukko4[Perushinnat, €]</f>
        <v>565594.91</v>
      </c>
      <c r="H22" s="461">
        <f>Taulukko3[[#This Row],[Työttömät ja palveluissa olevat (2023)]]*Taulukko4[[ ]]</f>
        <v>388506.80000000005</v>
      </c>
      <c r="I22" s="461">
        <f>Taulukko3[[#This Row],[Vieraskieliset (2023)]]*Taulukko4[[  ]]</f>
        <v>28795.5</v>
      </c>
      <c r="J22" s="494">
        <f>SUM('TE25 Palveluiden rahoitus'!$G22:$I22)</f>
        <v>982897.21000000008</v>
      </c>
      <c r="K22" s="499"/>
      <c r="L22" s="505">
        <v>372769.00530095387</v>
      </c>
      <c r="M22" s="458">
        <f>'TE25 Palveluiden rahoitus'!$J22*-0.5</f>
        <v>-491448.60500000004</v>
      </c>
      <c r="N22" s="458">
        <f t="shared" si="2"/>
        <v>-118679.59969904617</v>
      </c>
      <c r="O22" s="510">
        <f t="shared" si="3"/>
        <v>864217.61030095397</v>
      </c>
      <c r="P22" s="474"/>
      <c r="Q22" s="514">
        <v>-92547.61</v>
      </c>
    </row>
    <row r="23" spans="1:17" ht="12.75">
      <c r="A23" s="474">
        <v>51</v>
      </c>
      <c r="B23" s="474" t="s">
        <v>23</v>
      </c>
      <c r="C23" s="459">
        <v>4852</v>
      </c>
      <c r="D23" s="459">
        <v>370</v>
      </c>
      <c r="E23" s="459">
        <v>340</v>
      </c>
      <c r="G23" s="493">
        <f>Taulukko3[[#This Row],[Väestö, 18-64-vuotiaat (2023)]]*Taulukko4[Perushinnat, €]</f>
        <v>465840.52</v>
      </c>
      <c r="H23" s="461">
        <f>Taulukko3[[#This Row],[Työttömät ja palveluissa olevat (2023)]]*Taulukko4[[ ]]</f>
        <v>312494.60000000003</v>
      </c>
      <c r="I23" s="461">
        <f>Taulukko3[[#This Row],[Vieraskieliset (2023)]]*Taulukko4[[  ]]</f>
        <v>20145</v>
      </c>
      <c r="J23" s="494">
        <f>SUM('TE25 Palveluiden rahoitus'!$G23:$I23)</f>
        <v>798480.12000000011</v>
      </c>
      <c r="K23" s="499"/>
      <c r="L23" s="505">
        <v>328811.34290595417</v>
      </c>
      <c r="M23" s="458">
        <f>'TE25 Palveluiden rahoitus'!$J23*-0.5</f>
        <v>-399240.06000000006</v>
      </c>
      <c r="N23" s="458">
        <f t="shared" si="2"/>
        <v>-70428.717094045889</v>
      </c>
      <c r="O23" s="510">
        <f t="shared" si="3"/>
        <v>728051.40290595428</v>
      </c>
      <c r="P23" s="474"/>
      <c r="Q23" s="514">
        <v>-76224.92</v>
      </c>
    </row>
    <row r="24" spans="1:17" ht="12.75">
      <c r="A24" s="474">
        <v>52</v>
      </c>
      <c r="B24" s="474" t="s">
        <v>24</v>
      </c>
      <c r="C24" s="459">
        <v>1135</v>
      </c>
      <c r="D24" s="459">
        <v>73</v>
      </c>
      <c r="E24" s="459">
        <v>98</v>
      </c>
      <c r="G24" s="493">
        <f>Taulukko3[[#This Row],[Väestö, 18-64-vuotiaat (2023)]]*Taulukko4[Perushinnat, €]</f>
        <v>108971.35</v>
      </c>
      <c r="H24" s="461">
        <f>Taulukko3[[#This Row],[Työttömät ja palveluissa olevat (2023)]]*Taulukko4[[ ]]</f>
        <v>61654.340000000004</v>
      </c>
      <c r="I24" s="461">
        <f>Taulukko3[[#This Row],[Vieraskieliset (2023)]]*Taulukko4[[  ]]</f>
        <v>5806.5</v>
      </c>
      <c r="J24" s="494">
        <f>SUM('TE25 Palveluiden rahoitus'!$G24:$I24)</f>
        <v>176432.19</v>
      </c>
      <c r="K24" s="499"/>
      <c r="L24" s="505">
        <v>68432.205768980843</v>
      </c>
      <c r="M24" s="458">
        <f>'TE25 Palveluiden rahoitus'!$J24*-0.5</f>
        <v>-88216.095000000001</v>
      </c>
      <c r="N24" s="458">
        <f t="shared" si="2"/>
        <v>-19783.889231019159</v>
      </c>
      <c r="O24" s="510">
        <f t="shared" si="3"/>
        <v>156648.30076898084</v>
      </c>
      <c r="P24" s="474"/>
      <c r="Q24" s="514">
        <v>-17830.850000000002</v>
      </c>
    </row>
    <row r="25" spans="1:17" ht="12.75">
      <c r="A25" s="474">
        <v>61</v>
      </c>
      <c r="B25" s="474" t="s">
        <v>25</v>
      </c>
      <c r="C25" s="459">
        <v>8649</v>
      </c>
      <c r="D25" s="459">
        <v>1258</v>
      </c>
      <c r="E25" s="459">
        <v>1302</v>
      </c>
      <c r="G25" s="493">
        <f>Taulukko3[[#This Row],[Väestö, 18-64-vuotiaat (2023)]]*Taulukko4[Perushinnat, €]</f>
        <v>830390.49</v>
      </c>
      <c r="H25" s="461">
        <f>Taulukko3[[#This Row],[Työttömät ja palveluissa olevat (2023)]]*Taulukko4[[ ]]</f>
        <v>1062481.6400000001</v>
      </c>
      <c r="I25" s="461">
        <f>Taulukko3[[#This Row],[Vieraskieliset (2023)]]*Taulukko4[[  ]]</f>
        <v>77143.5</v>
      </c>
      <c r="J25" s="494">
        <f>SUM('TE25 Palveluiden rahoitus'!$G25:$I25)</f>
        <v>1970015.6300000001</v>
      </c>
      <c r="K25" s="499"/>
      <c r="L25" s="505">
        <v>1135317.9851800927</v>
      </c>
      <c r="M25" s="458">
        <f>'TE25 Palveluiden rahoitus'!$J25*-0.5</f>
        <v>-985007.81500000006</v>
      </c>
      <c r="N25" s="458">
        <f t="shared" si="2"/>
        <v>150310.17018009268</v>
      </c>
      <c r="O25" s="510">
        <f t="shared" si="3"/>
        <v>2120325.8001800929</v>
      </c>
      <c r="P25" s="474"/>
      <c r="Q25" s="514">
        <v>-135875.79</v>
      </c>
    </row>
    <row r="26" spans="1:17" ht="12.75">
      <c r="A26" s="474">
        <v>69</v>
      </c>
      <c r="B26" s="474" t="s">
        <v>26</v>
      </c>
      <c r="C26" s="459">
        <v>3355</v>
      </c>
      <c r="D26" s="459">
        <v>344</v>
      </c>
      <c r="E26" s="459">
        <v>133</v>
      </c>
      <c r="G26" s="493">
        <f>Taulukko3[[#This Row],[Väestö, 18-64-vuotiaat (2023)]]*Taulukko4[Perushinnat, €]</f>
        <v>322113.55</v>
      </c>
      <c r="H26" s="461">
        <f>Taulukko3[[#This Row],[Työttömät ja palveluissa olevat (2023)]]*Taulukko4[[ ]]</f>
        <v>290535.52</v>
      </c>
      <c r="I26" s="461">
        <f>Taulukko3[[#This Row],[Vieraskieliset (2023)]]*Taulukko4[[  ]]</f>
        <v>7880.25</v>
      </c>
      <c r="J26" s="494">
        <f>SUM('TE25 Palveluiden rahoitus'!$G26:$I26)</f>
        <v>620529.32000000007</v>
      </c>
      <c r="K26" s="499"/>
      <c r="L26" s="505">
        <v>244182.13033097039</v>
      </c>
      <c r="M26" s="458">
        <f>'TE25 Palveluiden rahoitus'!$J26*-0.5</f>
        <v>-310264.66000000003</v>
      </c>
      <c r="N26" s="458">
        <f t="shared" si="2"/>
        <v>-66082.529669029638</v>
      </c>
      <c r="O26" s="510">
        <f t="shared" si="3"/>
        <v>554446.79033097043</v>
      </c>
      <c r="P26" s="474"/>
      <c r="Q26" s="514">
        <v>-52707.05</v>
      </c>
    </row>
    <row r="27" spans="1:17" ht="12.75">
      <c r="A27" s="474">
        <v>71</v>
      </c>
      <c r="B27" s="474" t="s">
        <v>27</v>
      </c>
      <c r="C27" s="459">
        <v>3303</v>
      </c>
      <c r="D27" s="459">
        <v>316</v>
      </c>
      <c r="E27" s="459">
        <v>232</v>
      </c>
      <c r="G27" s="493">
        <f>Taulukko3[[#This Row],[Väestö, 18-64-vuotiaat (2023)]]*Taulukko4[Perushinnat, €]</f>
        <v>317121.03000000003</v>
      </c>
      <c r="H27" s="461">
        <f>Taulukko3[[#This Row],[Työttömät ja palveluissa olevat (2023)]]*Taulukko4[[ ]]</f>
        <v>266887.28000000003</v>
      </c>
      <c r="I27" s="461">
        <f>Taulukko3[[#This Row],[Vieraskieliset (2023)]]*Taulukko4[[  ]]</f>
        <v>13746</v>
      </c>
      <c r="J27" s="494">
        <f>SUM('TE25 Palveluiden rahoitus'!$G27:$I27)</f>
        <v>597754.31000000006</v>
      </c>
      <c r="K27" s="499"/>
      <c r="L27" s="505">
        <v>255906.15741465689</v>
      </c>
      <c r="M27" s="458">
        <f>'TE25 Palveluiden rahoitus'!$J27*-0.5</f>
        <v>-298877.15500000003</v>
      </c>
      <c r="N27" s="458">
        <f t="shared" si="2"/>
        <v>-42970.997585343139</v>
      </c>
      <c r="O27" s="510">
        <f t="shared" si="3"/>
        <v>554783.31241465686</v>
      </c>
      <c r="P27" s="474"/>
      <c r="Q27" s="514">
        <v>-51890.130000000005</v>
      </c>
    </row>
    <row r="28" spans="1:17" ht="12.75">
      <c r="A28" s="474">
        <v>72</v>
      </c>
      <c r="B28" s="474" t="s">
        <v>28</v>
      </c>
      <c r="C28" s="459">
        <v>425</v>
      </c>
      <c r="D28" s="459">
        <v>50</v>
      </c>
      <c r="E28" s="459">
        <v>17</v>
      </c>
      <c r="G28" s="493">
        <f>Taulukko3[[#This Row],[Väestö, 18-64-vuotiaat (2023)]]*Taulukko4[Perushinnat, €]</f>
        <v>40804.25</v>
      </c>
      <c r="H28" s="461">
        <f>Taulukko3[[#This Row],[Työttömät ja palveluissa olevat (2023)]]*Taulukko4[[ ]]</f>
        <v>42229</v>
      </c>
      <c r="I28" s="461">
        <f>Taulukko3[[#This Row],[Vieraskieliset (2023)]]*Taulukko4[[  ]]</f>
        <v>1007.25</v>
      </c>
      <c r="J28" s="494">
        <f>SUM('TE25 Palveluiden rahoitus'!$G28:$I28)</f>
        <v>84040.5</v>
      </c>
      <c r="K28" s="499"/>
      <c r="L28" s="505">
        <v>49364.849182382372</v>
      </c>
      <c r="M28" s="458">
        <f>'TE25 Palveluiden rahoitus'!$J28*-0.5</f>
        <v>-42020.25</v>
      </c>
      <c r="N28" s="458">
        <f t="shared" si="2"/>
        <v>7344.5991823823715</v>
      </c>
      <c r="O28" s="510">
        <f t="shared" si="3"/>
        <v>91385.099182382372</v>
      </c>
      <c r="P28" s="474"/>
      <c r="Q28" s="514">
        <v>-6676.75</v>
      </c>
    </row>
    <row r="29" spans="1:17" ht="12.75">
      <c r="A29" s="474">
        <v>74</v>
      </c>
      <c r="B29" s="474" t="s">
        <v>29</v>
      </c>
      <c r="C29" s="459">
        <v>475</v>
      </c>
      <c r="D29" s="459">
        <v>53</v>
      </c>
      <c r="E29" s="459">
        <v>51</v>
      </c>
      <c r="G29" s="493">
        <f>Taulukko3[[#This Row],[Väestö, 18-64-vuotiaat (2023)]]*Taulukko4[Perushinnat, €]</f>
        <v>45604.75</v>
      </c>
      <c r="H29" s="461">
        <f>Taulukko3[[#This Row],[Työttömät ja palveluissa olevat (2023)]]*Taulukko4[[ ]]</f>
        <v>44762.740000000005</v>
      </c>
      <c r="I29" s="461">
        <f>Taulukko3[[#This Row],[Vieraskieliset (2023)]]*Taulukko4[[  ]]</f>
        <v>3021.75</v>
      </c>
      <c r="J29" s="494">
        <f>SUM('TE25 Palveluiden rahoitus'!$G29:$I29)</f>
        <v>93389.24</v>
      </c>
      <c r="K29" s="499"/>
      <c r="L29" s="505">
        <v>33768.944712641824</v>
      </c>
      <c r="M29" s="458">
        <f>'TE25 Palveluiden rahoitus'!$J29*-0.5</f>
        <v>-46694.62</v>
      </c>
      <c r="N29" s="458">
        <f t="shared" si="2"/>
        <v>-12925.675287358179</v>
      </c>
      <c r="O29" s="510">
        <f t="shared" si="3"/>
        <v>80463.564712641819</v>
      </c>
      <c r="P29" s="474"/>
      <c r="Q29" s="514">
        <v>-7462.25</v>
      </c>
    </row>
    <row r="30" spans="1:17" ht="12.75">
      <c r="A30" s="474">
        <v>75</v>
      </c>
      <c r="B30" s="474" t="s">
        <v>30</v>
      </c>
      <c r="C30" s="459">
        <v>10434</v>
      </c>
      <c r="D30" s="459">
        <v>1365</v>
      </c>
      <c r="E30" s="459">
        <v>1558</v>
      </c>
      <c r="G30" s="493">
        <f>Taulukko3[[#This Row],[Väestö, 18-64-vuotiaat (2023)]]*Taulukko4[Perushinnat, €]</f>
        <v>1001768.3400000001</v>
      </c>
      <c r="H30" s="461">
        <f>Taulukko3[[#This Row],[Työttömät ja palveluissa olevat (2023)]]*Taulukko4[[ ]]</f>
        <v>1152851.7</v>
      </c>
      <c r="I30" s="461">
        <f>Taulukko3[[#This Row],[Vieraskieliset (2023)]]*Taulukko4[[  ]]</f>
        <v>92311.5</v>
      </c>
      <c r="J30" s="494">
        <f>SUM('TE25 Palveluiden rahoitus'!$G30:$I30)</f>
        <v>2246931.54</v>
      </c>
      <c r="K30" s="499"/>
      <c r="L30" s="505">
        <v>1565531.411570458</v>
      </c>
      <c r="M30" s="458">
        <f>'TE25 Palveluiden rahoitus'!$J30*-0.5</f>
        <v>-1123465.77</v>
      </c>
      <c r="N30" s="458">
        <f t="shared" si="2"/>
        <v>442065.64157045796</v>
      </c>
      <c r="O30" s="510">
        <f t="shared" si="3"/>
        <v>2688997.1815704578</v>
      </c>
      <c r="P30" s="474"/>
      <c r="Q30" s="514">
        <v>-163918.14000000001</v>
      </c>
    </row>
    <row r="31" spans="1:17" ht="12.75">
      <c r="A31" s="474">
        <v>77</v>
      </c>
      <c r="B31" s="474" t="s">
        <v>31</v>
      </c>
      <c r="C31" s="459">
        <v>2215</v>
      </c>
      <c r="D31" s="459">
        <v>275</v>
      </c>
      <c r="E31" s="459">
        <v>121</v>
      </c>
      <c r="G31" s="493">
        <f>Taulukko3[[#This Row],[Väestö, 18-64-vuotiaat (2023)]]*Taulukko4[Perushinnat, €]</f>
        <v>212662.15000000002</v>
      </c>
      <c r="H31" s="461">
        <f>Taulukko3[[#This Row],[Työttömät ja palveluissa olevat (2023)]]*Taulukko4[[ ]]</f>
        <v>232259.5</v>
      </c>
      <c r="I31" s="461">
        <f>Taulukko3[[#This Row],[Vieraskieliset (2023)]]*Taulukko4[[  ]]</f>
        <v>7169.25</v>
      </c>
      <c r="J31" s="494">
        <f>SUM('TE25 Palveluiden rahoitus'!$G31:$I31)</f>
        <v>452090.9</v>
      </c>
      <c r="K31" s="499"/>
      <c r="L31" s="505">
        <v>298720.96070957248</v>
      </c>
      <c r="M31" s="458">
        <f>'TE25 Palveluiden rahoitus'!$J31*-0.5</f>
        <v>-226045.45</v>
      </c>
      <c r="N31" s="458">
        <f t="shared" si="2"/>
        <v>72675.510709572467</v>
      </c>
      <c r="O31" s="510">
        <f t="shared" si="3"/>
        <v>524766.41070957249</v>
      </c>
      <c r="P31" s="474"/>
      <c r="Q31" s="514">
        <v>-34797.65</v>
      </c>
    </row>
    <row r="32" spans="1:17" ht="12.75">
      <c r="A32" s="474">
        <v>78</v>
      </c>
      <c r="B32" s="474" t="s">
        <v>32</v>
      </c>
      <c r="C32" s="459">
        <v>3956</v>
      </c>
      <c r="D32" s="459">
        <v>477</v>
      </c>
      <c r="E32" s="459">
        <v>410</v>
      </c>
      <c r="G32" s="493">
        <f>Taulukko3[[#This Row],[Väestö, 18-64-vuotiaat (2023)]]*Taulukko4[Perushinnat, €]</f>
        <v>379815.56</v>
      </c>
      <c r="H32" s="461">
        <f>Taulukko3[[#This Row],[Työttömät ja palveluissa olevat (2023)]]*Taulukko4[[ ]]</f>
        <v>402864.66000000003</v>
      </c>
      <c r="I32" s="461">
        <f>Taulukko3[[#This Row],[Vieraskieliset (2023)]]*Taulukko4[[  ]]</f>
        <v>24292.5</v>
      </c>
      <c r="J32" s="494">
        <f>SUM('TE25 Palveluiden rahoitus'!$G32:$I32)</f>
        <v>806972.72</v>
      </c>
      <c r="K32" s="499"/>
      <c r="L32" s="505">
        <v>389640.79151619086</v>
      </c>
      <c r="M32" s="458">
        <f>'TE25 Palveluiden rahoitus'!$J32*-0.5</f>
        <v>-403486.36</v>
      </c>
      <c r="N32" s="458">
        <f t="shared" si="2"/>
        <v>-13845.568483809126</v>
      </c>
      <c r="O32" s="510">
        <f t="shared" si="3"/>
        <v>793127.15151619085</v>
      </c>
      <c r="P32" s="474"/>
      <c r="Q32" s="514">
        <v>-62148.76</v>
      </c>
    </row>
    <row r="33" spans="1:17" ht="12.75">
      <c r="A33" s="474">
        <v>79</v>
      </c>
      <c r="B33" s="474" t="s">
        <v>33</v>
      </c>
      <c r="C33" s="459">
        <v>3406</v>
      </c>
      <c r="D33" s="459">
        <v>420</v>
      </c>
      <c r="E33" s="459">
        <v>330</v>
      </c>
      <c r="G33" s="493">
        <f>Taulukko3[[#This Row],[Väestö, 18-64-vuotiaat (2023)]]*Taulukko4[Perushinnat, €]</f>
        <v>327010.06</v>
      </c>
      <c r="H33" s="461">
        <f>Taulukko3[[#This Row],[Työttömät ja palveluissa olevat (2023)]]*Taulukko4[[ ]]</f>
        <v>354723.60000000003</v>
      </c>
      <c r="I33" s="461">
        <f>Taulukko3[[#This Row],[Vieraskieliset (2023)]]*Taulukko4[[  ]]</f>
        <v>19552.5</v>
      </c>
      <c r="J33" s="494">
        <f>SUM('TE25 Palveluiden rahoitus'!$G33:$I33)</f>
        <v>701286.16</v>
      </c>
      <c r="K33" s="499"/>
      <c r="L33" s="505">
        <v>350421.29013620707</v>
      </c>
      <c r="M33" s="458">
        <f>'TE25 Palveluiden rahoitus'!$J33*-0.5</f>
        <v>-350643.08</v>
      </c>
      <c r="N33" s="458">
        <f t="shared" si="2"/>
        <v>-221.78986379294656</v>
      </c>
      <c r="O33" s="510">
        <f t="shared" si="3"/>
        <v>701064.37013620697</v>
      </c>
      <c r="P33" s="474"/>
      <c r="Q33" s="514">
        <v>-53508.26</v>
      </c>
    </row>
    <row r="34" spans="1:17" ht="12.75">
      <c r="A34" s="474">
        <v>81</v>
      </c>
      <c r="B34" s="474" t="s">
        <v>34</v>
      </c>
      <c r="C34" s="459">
        <v>1151</v>
      </c>
      <c r="D34" s="459">
        <v>166</v>
      </c>
      <c r="E34" s="459">
        <v>86</v>
      </c>
      <c r="G34" s="493">
        <f>Taulukko3[[#This Row],[Väestö, 18-64-vuotiaat (2023)]]*Taulukko4[Perushinnat, €]</f>
        <v>110507.51000000001</v>
      </c>
      <c r="H34" s="461">
        <f>Taulukko3[[#This Row],[Työttömät ja palveluissa olevat (2023)]]*Taulukko4[[ ]]</f>
        <v>140200.28</v>
      </c>
      <c r="I34" s="461">
        <f>Taulukko3[[#This Row],[Vieraskieliset (2023)]]*Taulukko4[[  ]]</f>
        <v>5095.5</v>
      </c>
      <c r="J34" s="494">
        <f>SUM('TE25 Palveluiden rahoitus'!$G34:$I34)</f>
        <v>255803.29</v>
      </c>
      <c r="K34" s="499"/>
      <c r="L34" s="505">
        <v>203797.11168431668</v>
      </c>
      <c r="M34" s="458">
        <f>'TE25 Palveluiden rahoitus'!$J34*-0.5</f>
        <v>-127901.645</v>
      </c>
      <c r="N34" s="458">
        <f t="shared" si="2"/>
        <v>75895.466684316678</v>
      </c>
      <c r="O34" s="510">
        <f t="shared" si="3"/>
        <v>331698.75668431667</v>
      </c>
      <c r="P34" s="474"/>
      <c r="Q34" s="514">
        <v>-18082.210000000003</v>
      </c>
    </row>
    <row r="35" spans="1:17" ht="12.75">
      <c r="A35" s="474">
        <v>82</v>
      </c>
      <c r="B35" s="474" t="s">
        <v>35</v>
      </c>
      <c r="C35" s="459">
        <v>5143</v>
      </c>
      <c r="D35" s="459">
        <v>384</v>
      </c>
      <c r="E35" s="459">
        <v>231</v>
      </c>
      <c r="G35" s="493">
        <f>Taulukko3[[#This Row],[Väestö, 18-64-vuotiaat (2023)]]*Taulukko4[Perushinnat, €]</f>
        <v>493779.43000000005</v>
      </c>
      <c r="H35" s="461">
        <f>Taulukko3[[#This Row],[Työttömät ja palveluissa olevat (2023)]]*Taulukko4[[ ]]</f>
        <v>324318.72000000003</v>
      </c>
      <c r="I35" s="461">
        <f>Taulukko3[[#This Row],[Vieraskieliset (2023)]]*Taulukko4[[  ]]</f>
        <v>13686.75</v>
      </c>
      <c r="J35" s="494">
        <f>SUM('TE25 Palveluiden rahoitus'!$G35:$I35)</f>
        <v>831784.90000000014</v>
      </c>
      <c r="K35" s="499"/>
      <c r="L35" s="505">
        <v>344488.07515778259</v>
      </c>
      <c r="M35" s="458">
        <f>'TE25 Palveluiden rahoitus'!$J35*-0.5</f>
        <v>-415892.45000000007</v>
      </c>
      <c r="N35" s="458">
        <f t="shared" si="2"/>
        <v>-71404.374842217483</v>
      </c>
      <c r="O35" s="510">
        <f t="shared" si="3"/>
        <v>760380.5251577826</v>
      </c>
      <c r="P35" s="474"/>
      <c r="Q35" s="514">
        <v>-80796.53</v>
      </c>
    </row>
    <row r="36" spans="1:17" ht="12.75">
      <c r="A36" s="474">
        <v>86</v>
      </c>
      <c r="B36" s="474" t="s">
        <v>36</v>
      </c>
      <c r="C36" s="459">
        <v>4490</v>
      </c>
      <c r="D36" s="459">
        <v>373</v>
      </c>
      <c r="E36" s="459">
        <v>284</v>
      </c>
      <c r="G36" s="493">
        <f>Taulukko3[[#This Row],[Väestö, 18-64-vuotiaat (2023)]]*Taulukko4[Perushinnat, €]</f>
        <v>431084.9</v>
      </c>
      <c r="H36" s="461">
        <f>Taulukko3[[#This Row],[Työttömät ja palveluissa olevat (2023)]]*Taulukko4[[ ]]</f>
        <v>315028.34000000003</v>
      </c>
      <c r="I36" s="461">
        <f>Taulukko3[[#This Row],[Vieraskieliset (2023)]]*Taulukko4[[  ]]</f>
        <v>16827</v>
      </c>
      <c r="J36" s="494">
        <f>SUM('TE25 Palveluiden rahoitus'!$G36:$I36)</f>
        <v>762940.24</v>
      </c>
      <c r="K36" s="499"/>
      <c r="L36" s="505">
        <v>328022.83974135999</v>
      </c>
      <c r="M36" s="458">
        <f>'TE25 Palveluiden rahoitus'!$J36*-0.5</f>
        <v>-381470.12</v>
      </c>
      <c r="N36" s="458">
        <f t="shared" si="2"/>
        <v>-53447.280258640007</v>
      </c>
      <c r="O36" s="510">
        <f t="shared" si="3"/>
        <v>709492.95974135993</v>
      </c>
      <c r="P36" s="474"/>
      <c r="Q36" s="514">
        <v>-70537.900000000009</v>
      </c>
    </row>
    <row r="37" spans="1:17" ht="12.75">
      <c r="A37" s="474">
        <v>90</v>
      </c>
      <c r="B37" s="474" t="s">
        <v>37</v>
      </c>
      <c r="C37" s="459">
        <v>1388</v>
      </c>
      <c r="D37" s="459">
        <v>210</v>
      </c>
      <c r="E37" s="459">
        <v>129</v>
      </c>
      <c r="G37" s="493">
        <f>Taulukko3[[#This Row],[Väestö, 18-64-vuotiaat (2023)]]*Taulukko4[Perushinnat, €]</f>
        <v>133261.88</v>
      </c>
      <c r="H37" s="461">
        <f>Taulukko3[[#This Row],[Työttömät ja palveluissa olevat (2023)]]*Taulukko4[[ ]]</f>
        <v>177361.80000000002</v>
      </c>
      <c r="I37" s="461">
        <f>Taulukko3[[#This Row],[Vieraskieliset (2023)]]*Taulukko4[[  ]]</f>
        <v>7643.25</v>
      </c>
      <c r="J37" s="494">
        <f>SUM('TE25 Palveluiden rahoitus'!$G37:$I37)</f>
        <v>318266.93000000005</v>
      </c>
      <c r="K37" s="499"/>
      <c r="L37" s="505">
        <v>231788.67837166577</v>
      </c>
      <c r="M37" s="458">
        <f>'TE25 Palveluiden rahoitus'!$J37*-0.5</f>
        <v>-159133.46500000003</v>
      </c>
      <c r="N37" s="458">
        <f t="shared" si="2"/>
        <v>72655.213371665741</v>
      </c>
      <c r="O37" s="510">
        <f t="shared" si="3"/>
        <v>390922.14337166579</v>
      </c>
      <c r="P37" s="474"/>
      <c r="Q37" s="514">
        <v>-21805.48</v>
      </c>
    </row>
    <row r="38" spans="1:17" ht="12.75">
      <c r="A38" s="474">
        <v>91</v>
      </c>
      <c r="B38" s="474" t="s">
        <v>38</v>
      </c>
      <c r="C38" s="459">
        <v>442093</v>
      </c>
      <c r="D38" s="459">
        <v>50575</v>
      </c>
      <c r="E38" s="459">
        <v>131878</v>
      </c>
      <c r="G38" s="493">
        <f>Taulukko3[[#This Row],[Väestö, 18-64-vuotiaat (2023)]]*Taulukko4[Perushinnat, €]</f>
        <v>42445348.93</v>
      </c>
      <c r="H38" s="461">
        <f>Taulukko3[[#This Row],[Työttömät ja palveluissa olevat (2023)]]*Taulukko4[[ ]]</f>
        <v>42714633.5</v>
      </c>
      <c r="I38" s="461">
        <f>Taulukko3[[#This Row],[Vieraskieliset (2023)]]*Taulukko4[[  ]]</f>
        <v>7813771.5</v>
      </c>
      <c r="J38" s="494">
        <f>SUM('TE25 Palveluiden rahoitus'!$G38:$I38)</f>
        <v>92973753.930000007</v>
      </c>
      <c r="K38" s="499"/>
      <c r="L38" s="505">
        <v>41681952.53599637</v>
      </c>
      <c r="M38" s="458">
        <f>'TE25 Palveluiden rahoitus'!$J38*-0.5</f>
        <v>-46486876.965000004</v>
      </c>
      <c r="N38" s="458">
        <f t="shared" si="2"/>
        <v>-4804924.4290036336</v>
      </c>
      <c r="O38" s="510">
        <f t="shared" si="3"/>
        <v>88168829.500996381</v>
      </c>
      <c r="P38" s="474"/>
      <c r="Q38" s="514">
        <v>-6945281.0300000003</v>
      </c>
    </row>
    <row r="39" spans="1:17" ht="12.75">
      <c r="A39" s="474">
        <v>92</v>
      </c>
      <c r="B39" s="474" t="s">
        <v>39</v>
      </c>
      <c r="C39" s="459">
        <v>159397</v>
      </c>
      <c r="D39" s="459">
        <v>19875</v>
      </c>
      <c r="E39" s="459">
        <v>66586</v>
      </c>
      <c r="G39" s="493">
        <f>Taulukko3[[#This Row],[Väestö, 18-64-vuotiaat (2023)]]*Taulukko4[Perushinnat, €]</f>
        <v>15303705.970000001</v>
      </c>
      <c r="H39" s="461">
        <f>Taulukko3[[#This Row],[Työttömät ja palveluissa olevat (2023)]]*Taulukko4[[ ]]</f>
        <v>16786027.5</v>
      </c>
      <c r="I39" s="461">
        <f>Taulukko3[[#This Row],[Vieraskieliset (2023)]]*Taulukko4[[  ]]</f>
        <v>3945220.5</v>
      </c>
      <c r="J39" s="494">
        <f>SUM('TE25 Palveluiden rahoitus'!$G39:$I39)</f>
        <v>36034953.969999999</v>
      </c>
      <c r="K39" s="499"/>
      <c r="L39" s="505">
        <v>13534608.44610892</v>
      </c>
      <c r="M39" s="458">
        <f>'TE25 Palveluiden rahoitus'!$J39*-0.5</f>
        <v>-18017476.984999999</v>
      </c>
      <c r="N39" s="458">
        <f t="shared" si="2"/>
        <v>-4482868.5388910789</v>
      </c>
      <c r="O39" s="510">
        <f t="shared" si="3"/>
        <v>31552085.431108922</v>
      </c>
      <c r="P39" s="474"/>
      <c r="Q39" s="514">
        <v>-2504126.87</v>
      </c>
    </row>
    <row r="40" spans="1:17" ht="12.75">
      <c r="A40" s="474">
        <v>97</v>
      </c>
      <c r="B40" s="474" t="s">
        <v>40</v>
      </c>
      <c r="C40" s="459">
        <v>994</v>
      </c>
      <c r="D40" s="459">
        <v>123</v>
      </c>
      <c r="E40" s="459">
        <v>63</v>
      </c>
      <c r="G40" s="493">
        <f>Taulukko3[[#This Row],[Väestö, 18-64-vuotiaat (2023)]]*Taulukko4[Perushinnat, €]</f>
        <v>95433.94</v>
      </c>
      <c r="H40" s="461">
        <f>Taulukko3[[#This Row],[Työttömät ja palveluissa olevat (2023)]]*Taulukko4[[ ]]</f>
        <v>103883.34000000001</v>
      </c>
      <c r="I40" s="461">
        <f>Taulukko3[[#This Row],[Vieraskieliset (2023)]]*Taulukko4[[  ]]</f>
        <v>3732.75</v>
      </c>
      <c r="J40" s="494">
        <f>SUM('TE25 Palveluiden rahoitus'!$G40:$I40)</f>
        <v>203050.03000000003</v>
      </c>
      <c r="K40" s="499"/>
      <c r="L40" s="505">
        <v>114256.59413570927</v>
      </c>
      <c r="M40" s="458">
        <f>'TE25 Palveluiden rahoitus'!$J40*-0.5</f>
        <v>-101525.01500000001</v>
      </c>
      <c r="N40" s="458">
        <f t="shared" si="2"/>
        <v>12731.579135709253</v>
      </c>
      <c r="O40" s="510">
        <f t="shared" si="3"/>
        <v>215781.6091357093</v>
      </c>
      <c r="P40" s="474"/>
      <c r="Q40" s="514">
        <v>-15615.740000000002</v>
      </c>
    </row>
    <row r="41" spans="1:17" ht="12.75">
      <c r="A41" s="474">
        <v>98</v>
      </c>
      <c r="B41" s="474" t="s">
        <v>41</v>
      </c>
      <c r="C41" s="459">
        <v>12134</v>
      </c>
      <c r="D41" s="459">
        <v>1059</v>
      </c>
      <c r="E41" s="459">
        <v>732</v>
      </c>
      <c r="G41" s="493">
        <f>Taulukko3[[#This Row],[Väestö, 18-64-vuotiaat (2023)]]*Taulukko4[Perushinnat, €]</f>
        <v>1164985.3400000001</v>
      </c>
      <c r="H41" s="461">
        <f>Taulukko3[[#This Row],[Työttömät ja palveluissa olevat (2023)]]*Taulukko4[[ ]]</f>
        <v>894410.22000000009</v>
      </c>
      <c r="I41" s="461">
        <f>Taulukko3[[#This Row],[Vieraskieliset (2023)]]*Taulukko4[[  ]]</f>
        <v>43371</v>
      </c>
      <c r="J41" s="494">
        <f>SUM('TE25 Palveluiden rahoitus'!$G41:$I41)</f>
        <v>2102766.56</v>
      </c>
      <c r="K41" s="499"/>
      <c r="L41" s="505">
        <v>1335140.7385219238</v>
      </c>
      <c r="M41" s="458">
        <f>'TE25 Palveluiden rahoitus'!$J41*-0.5</f>
        <v>-1051383.28</v>
      </c>
      <c r="N41" s="458">
        <f t="shared" si="2"/>
        <v>283757.45852192375</v>
      </c>
      <c r="O41" s="510">
        <f t="shared" si="3"/>
        <v>2386524.0185219236</v>
      </c>
      <c r="P41" s="474"/>
      <c r="Q41" s="514">
        <v>-190625.14</v>
      </c>
    </row>
    <row r="42" spans="1:17" ht="12.75">
      <c r="A42" s="474">
        <v>102</v>
      </c>
      <c r="B42" s="474" t="s">
        <v>42</v>
      </c>
      <c r="C42" s="459">
        <v>5057</v>
      </c>
      <c r="D42" s="459">
        <v>451</v>
      </c>
      <c r="E42" s="459">
        <v>494</v>
      </c>
      <c r="G42" s="493">
        <f>Taulukko3[[#This Row],[Väestö, 18-64-vuotiaat (2023)]]*Taulukko4[Perushinnat, €]</f>
        <v>485522.57</v>
      </c>
      <c r="H42" s="461">
        <f>Taulukko3[[#This Row],[Työttömät ja palveluissa olevat (2023)]]*Taulukko4[[ ]]</f>
        <v>380905.58</v>
      </c>
      <c r="I42" s="461">
        <f>Taulukko3[[#This Row],[Vieraskieliset (2023)]]*Taulukko4[[  ]]</f>
        <v>29269.5</v>
      </c>
      <c r="J42" s="494">
        <f>SUM('TE25 Palveluiden rahoitus'!$G42:$I42)</f>
        <v>895697.65</v>
      </c>
      <c r="K42" s="499"/>
      <c r="L42" s="505">
        <v>460139.07922193705</v>
      </c>
      <c r="M42" s="458">
        <f>'TE25 Palveluiden rahoitus'!$J42*-0.5</f>
        <v>-447848.82500000001</v>
      </c>
      <c r="N42" s="458">
        <f t="shared" si="2"/>
        <v>12290.254221937037</v>
      </c>
      <c r="O42" s="510">
        <f t="shared" si="3"/>
        <v>907987.90422193706</v>
      </c>
      <c r="P42" s="474"/>
      <c r="Q42" s="514">
        <v>-79445.47</v>
      </c>
    </row>
    <row r="43" spans="1:17" ht="12.75">
      <c r="A43" s="474">
        <v>103</v>
      </c>
      <c r="B43" s="474" t="s">
        <v>43</v>
      </c>
      <c r="C43" s="459">
        <v>1092</v>
      </c>
      <c r="D43" s="459">
        <v>127</v>
      </c>
      <c r="E43" s="459">
        <v>45</v>
      </c>
      <c r="G43" s="493">
        <f>Taulukko3[[#This Row],[Väestö, 18-64-vuotiaat (2023)]]*Taulukko4[Perushinnat, €]</f>
        <v>104842.92000000001</v>
      </c>
      <c r="H43" s="461">
        <f>Taulukko3[[#This Row],[Työttömät ja palveluissa olevat (2023)]]*Taulukko4[[ ]]</f>
        <v>107261.66</v>
      </c>
      <c r="I43" s="461">
        <f>Taulukko3[[#This Row],[Vieraskieliset (2023)]]*Taulukko4[[  ]]</f>
        <v>2666.25</v>
      </c>
      <c r="J43" s="494">
        <f>SUM('TE25 Palveluiden rahoitus'!$G43:$I43)</f>
        <v>214770.83000000002</v>
      </c>
      <c r="K43" s="499"/>
      <c r="L43" s="505">
        <v>82704.79740790074</v>
      </c>
      <c r="M43" s="458">
        <f>'TE25 Palveluiden rahoitus'!$J43*-0.5</f>
        <v>-107385.41500000001</v>
      </c>
      <c r="N43" s="458">
        <f t="shared" si="2"/>
        <v>-24680.617592099268</v>
      </c>
      <c r="O43" s="510">
        <f t="shared" si="3"/>
        <v>190090.21240790075</v>
      </c>
      <c r="P43" s="474"/>
      <c r="Q43" s="514">
        <v>-17155.32</v>
      </c>
    </row>
    <row r="44" spans="1:17" ht="12.75">
      <c r="A44" s="474">
        <v>105</v>
      </c>
      <c r="B44" s="474" t="s">
        <v>44</v>
      </c>
      <c r="C44" s="459">
        <v>892</v>
      </c>
      <c r="D44" s="459">
        <v>124</v>
      </c>
      <c r="E44" s="459">
        <v>43</v>
      </c>
      <c r="G44" s="493">
        <f>Taulukko3[[#This Row],[Väestö, 18-64-vuotiaat (2023)]]*Taulukko4[Perushinnat, €]</f>
        <v>85640.92</v>
      </c>
      <c r="H44" s="461">
        <f>Taulukko3[[#This Row],[Työttömät ja palveluissa olevat (2023)]]*Taulukko4[[ ]]</f>
        <v>104727.92</v>
      </c>
      <c r="I44" s="461">
        <f>Taulukko3[[#This Row],[Vieraskieliset (2023)]]*Taulukko4[[  ]]</f>
        <v>2547.75</v>
      </c>
      <c r="J44" s="494">
        <f>SUM('TE25 Palveluiden rahoitus'!$G44:$I44)</f>
        <v>192916.59</v>
      </c>
      <c r="K44" s="499"/>
      <c r="L44" s="505">
        <v>123704.12944299293</v>
      </c>
      <c r="M44" s="458">
        <f>'TE25 Palveluiden rahoitus'!$J44*-0.5</f>
        <v>-96458.294999999998</v>
      </c>
      <c r="N44" s="458">
        <f t="shared" si="2"/>
        <v>27245.834442992928</v>
      </c>
      <c r="O44" s="510">
        <f t="shared" si="3"/>
        <v>220162.42444299295</v>
      </c>
      <c r="P44" s="474"/>
      <c r="Q44" s="514">
        <v>-14013.320000000002</v>
      </c>
    </row>
    <row r="45" spans="1:17" ht="12.75">
      <c r="A45" s="474">
        <v>106</v>
      </c>
      <c r="B45" s="474" t="s">
        <v>45</v>
      </c>
      <c r="C45" s="459">
        <v>27145</v>
      </c>
      <c r="D45" s="459">
        <v>3254</v>
      </c>
      <c r="E45" s="459">
        <v>3681</v>
      </c>
      <c r="G45" s="493">
        <f>Taulukko3[[#This Row],[Väestö, 18-64-vuotiaat (2023)]]*Taulukko4[Perushinnat, €]</f>
        <v>2606191.4500000002</v>
      </c>
      <c r="H45" s="461">
        <f>Taulukko3[[#This Row],[Työttömät ja palveluissa olevat (2023)]]*Taulukko4[[ ]]</f>
        <v>2748263.3200000003</v>
      </c>
      <c r="I45" s="461">
        <f>Taulukko3[[#This Row],[Vieraskieliset (2023)]]*Taulukko4[[  ]]</f>
        <v>218099.25</v>
      </c>
      <c r="J45" s="494">
        <f>SUM('TE25 Palveluiden rahoitus'!$G45:$I45)</f>
        <v>5572554.0200000005</v>
      </c>
      <c r="K45" s="499"/>
      <c r="L45" s="505">
        <v>2359225.8837360772</v>
      </c>
      <c r="M45" s="458">
        <f>'TE25 Palveluiden rahoitus'!$J45*-0.5</f>
        <v>-2786277.0100000002</v>
      </c>
      <c r="N45" s="458">
        <f t="shared" si="2"/>
        <v>-427051.12626392301</v>
      </c>
      <c r="O45" s="510">
        <f t="shared" si="3"/>
        <v>5145502.8937360775</v>
      </c>
      <c r="P45" s="474"/>
      <c r="Q45" s="514">
        <v>-426447.95</v>
      </c>
    </row>
    <row r="46" spans="1:17" ht="12.75">
      <c r="A46" s="474">
        <v>108</v>
      </c>
      <c r="B46" s="474" t="s">
        <v>46</v>
      </c>
      <c r="C46" s="459">
        <v>5617</v>
      </c>
      <c r="D46" s="459">
        <v>578</v>
      </c>
      <c r="E46" s="459">
        <v>214</v>
      </c>
      <c r="G46" s="493">
        <f>Taulukko3[[#This Row],[Väestö, 18-64-vuotiaat (2023)]]*Taulukko4[Perushinnat, €]</f>
        <v>539288.17000000004</v>
      </c>
      <c r="H46" s="461">
        <f>Taulukko3[[#This Row],[Työttömät ja palveluissa olevat (2023)]]*Taulukko4[[ ]]</f>
        <v>488167.24000000005</v>
      </c>
      <c r="I46" s="461">
        <f>Taulukko3[[#This Row],[Vieraskieliset (2023)]]*Taulukko4[[  ]]</f>
        <v>12679.5</v>
      </c>
      <c r="J46" s="494">
        <f>SUM('TE25 Palveluiden rahoitus'!$G46:$I46)</f>
        <v>1040134.9100000001</v>
      </c>
      <c r="K46" s="499"/>
      <c r="L46" s="505">
        <v>468702.12635445659</v>
      </c>
      <c r="M46" s="458">
        <f>'TE25 Palveluiden rahoitus'!$J46*-0.5</f>
        <v>-520067.45500000007</v>
      </c>
      <c r="N46" s="458">
        <f t="shared" si="2"/>
        <v>-51365.328645543486</v>
      </c>
      <c r="O46" s="510">
        <f t="shared" si="3"/>
        <v>988769.58135445672</v>
      </c>
      <c r="P46" s="474"/>
      <c r="Q46" s="514">
        <v>-88243.07</v>
      </c>
    </row>
    <row r="47" spans="1:17" ht="12.75">
      <c r="A47" s="474">
        <v>109</v>
      </c>
      <c r="B47" s="474" t="s">
        <v>47</v>
      </c>
      <c r="C47" s="459">
        <v>38148</v>
      </c>
      <c r="D47" s="459">
        <v>4519</v>
      </c>
      <c r="E47" s="459">
        <v>4660</v>
      </c>
      <c r="G47" s="493">
        <f>Taulukko3[[#This Row],[Väestö, 18-64-vuotiaat (2023)]]*Taulukko4[Perushinnat, €]</f>
        <v>3662589.48</v>
      </c>
      <c r="H47" s="461">
        <f>Taulukko3[[#This Row],[Työttömät ja palveluissa olevat (2023)]]*Taulukko4[[ ]]</f>
        <v>3816657.02</v>
      </c>
      <c r="I47" s="461">
        <f>Taulukko3[[#This Row],[Vieraskieliset (2023)]]*Taulukko4[[  ]]</f>
        <v>276105</v>
      </c>
      <c r="J47" s="494">
        <f>SUM('TE25 Palveluiden rahoitus'!$G47:$I47)</f>
        <v>7755351.5</v>
      </c>
      <c r="K47" s="499"/>
      <c r="L47" s="505">
        <v>3778360.2249933206</v>
      </c>
      <c r="M47" s="458">
        <f>'TE25 Palveluiden rahoitus'!$J47*-0.5</f>
        <v>-3877675.75</v>
      </c>
      <c r="N47" s="458">
        <f t="shared" si="2"/>
        <v>-99315.525006679352</v>
      </c>
      <c r="O47" s="510">
        <f t="shared" si="3"/>
        <v>7656035.9749933202</v>
      </c>
      <c r="P47" s="474"/>
      <c r="Q47" s="514">
        <v>-599305.08000000007</v>
      </c>
    </row>
    <row r="48" spans="1:17" ht="12.75">
      <c r="A48" s="474">
        <v>111</v>
      </c>
      <c r="B48" s="474" t="s">
        <v>48</v>
      </c>
      <c r="C48" s="459">
        <v>8967</v>
      </c>
      <c r="D48" s="459">
        <v>1289</v>
      </c>
      <c r="E48" s="459">
        <v>903</v>
      </c>
      <c r="G48" s="493">
        <f>Taulukko3[[#This Row],[Väestö, 18-64-vuotiaat (2023)]]*Taulukko4[Perushinnat, €]</f>
        <v>860921.67</v>
      </c>
      <c r="H48" s="461">
        <f>Taulukko3[[#This Row],[Työttömät ja palveluissa olevat (2023)]]*Taulukko4[[ ]]</f>
        <v>1088663.6200000001</v>
      </c>
      <c r="I48" s="461">
        <f>Taulukko3[[#This Row],[Vieraskieliset (2023)]]*Taulukko4[[  ]]</f>
        <v>53502.75</v>
      </c>
      <c r="J48" s="494">
        <f>SUM('TE25 Palveluiden rahoitus'!$G48:$I48)</f>
        <v>2003088.04</v>
      </c>
      <c r="K48" s="499"/>
      <c r="L48" s="505">
        <v>1423823.208339554</v>
      </c>
      <c r="M48" s="458">
        <f>'TE25 Palveluiden rahoitus'!$J48*-0.5</f>
        <v>-1001544.02</v>
      </c>
      <c r="N48" s="458">
        <f t="shared" si="2"/>
        <v>422279.18833955401</v>
      </c>
      <c r="O48" s="510">
        <f t="shared" si="3"/>
        <v>2425367.2283395543</v>
      </c>
      <c r="P48" s="474"/>
      <c r="Q48" s="514">
        <v>-140871.57</v>
      </c>
    </row>
    <row r="49" spans="1:17" ht="12.75">
      <c r="A49" s="474">
        <v>139</v>
      </c>
      <c r="B49" s="474" t="s">
        <v>49</v>
      </c>
      <c r="C49" s="459">
        <v>5050</v>
      </c>
      <c r="D49" s="459">
        <v>657</v>
      </c>
      <c r="E49" s="459">
        <v>88</v>
      </c>
      <c r="G49" s="493">
        <f>Taulukko3[[#This Row],[Väestö, 18-64-vuotiaat (2023)]]*Taulukko4[Perushinnat, €]</f>
        <v>484850.5</v>
      </c>
      <c r="H49" s="461">
        <f>Taulukko3[[#This Row],[Työttömät ja palveluissa olevat (2023)]]*Taulukko4[[ ]]</f>
        <v>554889.06000000006</v>
      </c>
      <c r="I49" s="461">
        <f>Taulukko3[[#This Row],[Vieraskieliset (2023)]]*Taulukko4[[  ]]</f>
        <v>5214</v>
      </c>
      <c r="J49" s="494">
        <f>SUM('TE25 Palveluiden rahoitus'!$G49:$I49)</f>
        <v>1044953.56</v>
      </c>
      <c r="K49" s="499"/>
      <c r="L49" s="505">
        <v>697696.30012116348</v>
      </c>
      <c r="M49" s="458">
        <f>'TE25 Palveluiden rahoitus'!$J49*-0.5</f>
        <v>-522476.78</v>
      </c>
      <c r="N49" s="458">
        <f t="shared" si="2"/>
        <v>175219.52012116346</v>
      </c>
      <c r="O49" s="510">
        <f t="shared" si="3"/>
        <v>1220173.0801211635</v>
      </c>
      <c r="P49" s="474"/>
      <c r="Q49" s="514">
        <v>-79335.5</v>
      </c>
    </row>
    <row r="50" spans="1:17" ht="12.75">
      <c r="A50" s="474">
        <v>140</v>
      </c>
      <c r="B50" s="474" t="s">
        <v>50</v>
      </c>
      <c r="C50" s="459">
        <v>10977</v>
      </c>
      <c r="D50" s="459">
        <v>1525</v>
      </c>
      <c r="E50" s="459">
        <v>851</v>
      </c>
      <c r="G50" s="493">
        <f>Taulukko3[[#This Row],[Väestö, 18-64-vuotiaat (2023)]]*Taulukko4[Perushinnat, €]</f>
        <v>1053901.77</v>
      </c>
      <c r="H50" s="461">
        <f>Taulukko3[[#This Row],[Työttömät ja palveluissa olevat (2023)]]*Taulukko4[[ ]]</f>
        <v>1287984.5</v>
      </c>
      <c r="I50" s="461">
        <f>Taulukko3[[#This Row],[Vieraskieliset (2023)]]*Taulukko4[[  ]]</f>
        <v>50421.75</v>
      </c>
      <c r="J50" s="494">
        <f>SUM('TE25 Palveluiden rahoitus'!$G50:$I50)</f>
        <v>2392308.02</v>
      </c>
      <c r="K50" s="499"/>
      <c r="L50" s="505">
        <v>1625828.8411646092</v>
      </c>
      <c r="M50" s="458">
        <f>'TE25 Palveluiden rahoitus'!$J50*-0.5</f>
        <v>-1196154.01</v>
      </c>
      <c r="N50" s="458">
        <f t="shared" si="2"/>
        <v>429674.83116460918</v>
      </c>
      <c r="O50" s="510">
        <f t="shared" si="3"/>
        <v>2821982.8511646092</v>
      </c>
      <c r="P50" s="474"/>
      <c r="Q50" s="514">
        <v>-172448.67</v>
      </c>
    </row>
    <row r="51" spans="1:17" ht="12.75">
      <c r="A51" s="474">
        <v>142</v>
      </c>
      <c r="B51" s="474" t="s">
        <v>51</v>
      </c>
      <c r="C51" s="459">
        <v>3208</v>
      </c>
      <c r="D51" s="459">
        <v>357</v>
      </c>
      <c r="E51" s="459">
        <v>157</v>
      </c>
      <c r="G51" s="493">
        <f>Taulukko3[[#This Row],[Väestö, 18-64-vuotiaat (2023)]]*Taulukko4[Perushinnat, €]</f>
        <v>308000.08</v>
      </c>
      <c r="H51" s="461">
        <f>Taulukko3[[#This Row],[Työttömät ja palveluissa olevat (2023)]]*Taulukko4[[ ]]</f>
        <v>301515.06</v>
      </c>
      <c r="I51" s="461">
        <f>Taulukko3[[#This Row],[Vieraskieliset (2023)]]*Taulukko4[[  ]]</f>
        <v>9302.25</v>
      </c>
      <c r="J51" s="494">
        <f>SUM('TE25 Palveluiden rahoitus'!$G51:$I51)</f>
        <v>618817.39</v>
      </c>
      <c r="K51" s="499"/>
      <c r="L51" s="505">
        <v>408990.68732397305</v>
      </c>
      <c r="M51" s="458">
        <f>'TE25 Palveluiden rahoitus'!$J51*-0.5</f>
        <v>-309408.69500000001</v>
      </c>
      <c r="N51" s="458">
        <f t="shared" si="2"/>
        <v>99581.992323973041</v>
      </c>
      <c r="O51" s="510">
        <f t="shared" si="3"/>
        <v>718399.38232397311</v>
      </c>
      <c r="P51" s="474"/>
      <c r="Q51" s="514">
        <v>-50397.68</v>
      </c>
    </row>
    <row r="52" spans="1:17" ht="12.75">
      <c r="A52" s="474">
        <v>143</v>
      </c>
      <c r="B52" s="474" t="s">
        <v>52</v>
      </c>
      <c r="C52" s="459">
        <v>3435</v>
      </c>
      <c r="D52" s="459">
        <v>397</v>
      </c>
      <c r="E52" s="459">
        <v>321</v>
      </c>
      <c r="G52" s="493">
        <f>Taulukko3[[#This Row],[Väestö, 18-64-vuotiaat (2023)]]*Taulukko4[Perushinnat, €]</f>
        <v>329794.35000000003</v>
      </c>
      <c r="H52" s="461">
        <f>Taulukko3[[#This Row],[Työttömät ja palveluissa olevat (2023)]]*Taulukko4[[ ]]</f>
        <v>335298.26</v>
      </c>
      <c r="I52" s="461">
        <f>Taulukko3[[#This Row],[Vieraskieliset (2023)]]*Taulukko4[[  ]]</f>
        <v>19019.25</v>
      </c>
      <c r="J52" s="494">
        <f>SUM('TE25 Palveluiden rahoitus'!$G52:$I52)</f>
        <v>684111.8600000001</v>
      </c>
      <c r="K52" s="499"/>
      <c r="L52" s="505">
        <v>364983.64825590543</v>
      </c>
      <c r="M52" s="458">
        <f>'TE25 Palveluiden rahoitus'!$J52*-0.5</f>
        <v>-342055.93000000005</v>
      </c>
      <c r="N52" s="458">
        <f t="shared" si="2"/>
        <v>22927.718255905376</v>
      </c>
      <c r="O52" s="510">
        <f t="shared" si="3"/>
        <v>707039.57825590542</v>
      </c>
      <c r="P52" s="474"/>
      <c r="Q52" s="514">
        <v>-53963.850000000006</v>
      </c>
    </row>
    <row r="53" spans="1:17" ht="12.75">
      <c r="A53" s="474">
        <v>145</v>
      </c>
      <c r="B53" s="474" t="s">
        <v>53</v>
      </c>
      <c r="C53" s="459">
        <v>6666</v>
      </c>
      <c r="D53" s="459">
        <v>468</v>
      </c>
      <c r="E53" s="459">
        <v>202</v>
      </c>
      <c r="G53" s="493">
        <f>Taulukko3[[#This Row],[Väestö, 18-64-vuotiaat (2023)]]*Taulukko4[Perushinnat, €]</f>
        <v>640002.66</v>
      </c>
      <c r="H53" s="461">
        <f>Taulukko3[[#This Row],[Työttömät ja palveluissa olevat (2023)]]*Taulukko4[[ ]]</f>
        <v>395263.44</v>
      </c>
      <c r="I53" s="461">
        <f>Taulukko3[[#This Row],[Vieraskieliset (2023)]]*Taulukko4[[  ]]</f>
        <v>11968.5</v>
      </c>
      <c r="J53" s="494">
        <f>SUM('TE25 Palveluiden rahoitus'!$G53:$I53)</f>
        <v>1047234.6000000001</v>
      </c>
      <c r="K53" s="499"/>
      <c r="L53" s="505">
        <v>459357.52056222397</v>
      </c>
      <c r="M53" s="458">
        <f>'TE25 Palveluiden rahoitus'!$J53*-0.5</f>
        <v>-523617.30000000005</v>
      </c>
      <c r="N53" s="458">
        <f t="shared" si="2"/>
        <v>-64259.779437776073</v>
      </c>
      <c r="O53" s="510">
        <f t="shared" si="3"/>
        <v>982974.82056222414</v>
      </c>
      <c r="P53" s="474"/>
      <c r="Q53" s="514">
        <v>-104722.86</v>
      </c>
    </row>
    <row r="54" spans="1:17" ht="12.75">
      <c r="A54" s="474">
        <v>146</v>
      </c>
      <c r="B54" s="474" t="s">
        <v>54</v>
      </c>
      <c r="C54" s="459">
        <v>1935</v>
      </c>
      <c r="D54" s="459">
        <v>313</v>
      </c>
      <c r="E54" s="459">
        <v>193</v>
      </c>
      <c r="G54" s="493">
        <f>Taulukko3[[#This Row],[Väestö, 18-64-vuotiaat (2023)]]*Taulukko4[Perushinnat, €]</f>
        <v>185779.35</v>
      </c>
      <c r="H54" s="461">
        <f>Taulukko3[[#This Row],[Työttömät ja palveluissa olevat (2023)]]*Taulukko4[[ ]]</f>
        <v>264353.54000000004</v>
      </c>
      <c r="I54" s="461">
        <f>Taulukko3[[#This Row],[Vieraskieliset (2023)]]*Taulukko4[[  ]]</f>
        <v>11435.25</v>
      </c>
      <c r="J54" s="494">
        <f>SUM('TE25 Palveluiden rahoitus'!$G54:$I54)</f>
        <v>461568.14</v>
      </c>
      <c r="K54" s="499"/>
      <c r="L54" s="505">
        <v>448895.66145633813</v>
      </c>
      <c r="M54" s="458">
        <f>'TE25 Palveluiden rahoitus'!$J54*-0.5</f>
        <v>-230784.07</v>
      </c>
      <c r="N54" s="458">
        <f t="shared" si="2"/>
        <v>218111.59145633812</v>
      </c>
      <c r="O54" s="510">
        <f t="shared" si="3"/>
        <v>679679.7314563382</v>
      </c>
      <c r="P54" s="474"/>
      <c r="Q54" s="514">
        <v>-30398.850000000002</v>
      </c>
    </row>
    <row r="55" spans="1:17" ht="12.75">
      <c r="A55" s="474">
        <v>148</v>
      </c>
      <c r="B55" s="474" t="s">
        <v>55</v>
      </c>
      <c r="C55" s="459">
        <v>4110</v>
      </c>
      <c r="D55" s="459">
        <v>475</v>
      </c>
      <c r="E55" s="459">
        <v>358</v>
      </c>
      <c r="G55" s="493">
        <f>Taulukko3[[#This Row],[Väestö, 18-64-vuotiaat (2023)]]*Taulukko4[Perushinnat, €]</f>
        <v>394601.10000000003</v>
      </c>
      <c r="H55" s="461">
        <f>Taulukko3[[#This Row],[Työttömät ja palveluissa olevat (2023)]]*Taulukko4[[ ]]</f>
        <v>401175.5</v>
      </c>
      <c r="I55" s="461">
        <f>Taulukko3[[#This Row],[Vieraskieliset (2023)]]*Taulukko4[[  ]]</f>
        <v>21211.5</v>
      </c>
      <c r="J55" s="494">
        <f>SUM('TE25 Palveluiden rahoitus'!$G55:$I55)</f>
        <v>816988.10000000009</v>
      </c>
      <c r="K55" s="499"/>
      <c r="L55" s="505">
        <v>481672.56317870424</v>
      </c>
      <c r="M55" s="458">
        <f>'TE25 Palveluiden rahoitus'!$J55*-0.5</f>
        <v>-408494.05000000005</v>
      </c>
      <c r="N55" s="458">
        <f t="shared" si="2"/>
        <v>73178.51317870419</v>
      </c>
      <c r="O55" s="510">
        <f t="shared" si="3"/>
        <v>890166.61317870417</v>
      </c>
      <c r="P55" s="474"/>
      <c r="Q55" s="514">
        <v>-64568.100000000006</v>
      </c>
    </row>
    <row r="56" spans="1:17" ht="12.75">
      <c r="A56" s="474">
        <v>149</v>
      </c>
      <c r="B56" s="474" t="s">
        <v>56</v>
      </c>
      <c r="C56" s="459">
        <v>2974</v>
      </c>
      <c r="D56" s="459">
        <v>188</v>
      </c>
      <c r="E56" s="459">
        <v>278</v>
      </c>
      <c r="G56" s="493">
        <f>Taulukko3[[#This Row],[Väestö, 18-64-vuotiaat (2023)]]*Taulukko4[Perushinnat, €]</f>
        <v>285533.74</v>
      </c>
      <c r="H56" s="461">
        <f>Taulukko3[[#This Row],[Työttömät ja palveluissa olevat (2023)]]*Taulukko4[[ ]]</f>
        <v>158781.04</v>
      </c>
      <c r="I56" s="461">
        <f>Taulukko3[[#This Row],[Vieraskieliset (2023)]]*Taulukko4[[  ]]</f>
        <v>16471.5</v>
      </c>
      <c r="J56" s="494">
        <f>SUM('TE25 Palveluiden rahoitus'!$G56:$I56)</f>
        <v>460786.28</v>
      </c>
      <c r="K56" s="499"/>
      <c r="L56" s="505">
        <v>196000.53314913204</v>
      </c>
      <c r="M56" s="458">
        <f>'TE25 Palveluiden rahoitus'!$J56*-0.5</f>
        <v>-230393.14</v>
      </c>
      <c r="N56" s="458">
        <f t="shared" si="2"/>
        <v>-34392.606850867975</v>
      </c>
      <c r="O56" s="510">
        <f t="shared" si="3"/>
        <v>426393.67314913205</v>
      </c>
      <c r="P56" s="474"/>
      <c r="Q56" s="514">
        <v>-46721.54</v>
      </c>
    </row>
    <row r="57" spans="1:17" ht="12.75">
      <c r="A57" s="474">
        <v>151</v>
      </c>
      <c r="B57" s="474" t="s">
        <v>57</v>
      </c>
      <c r="C57" s="459">
        <v>908</v>
      </c>
      <c r="D57" s="459">
        <v>57</v>
      </c>
      <c r="E57" s="459">
        <v>80</v>
      </c>
      <c r="G57" s="493">
        <f>Taulukko3[[#This Row],[Väestö, 18-64-vuotiaat (2023)]]*Taulukko4[Perushinnat, €]</f>
        <v>87177.08</v>
      </c>
      <c r="H57" s="461">
        <f>Taulukko3[[#This Row],[Työttömät ja palveluissa olevat (2023)]]*Taulukko4[[ ]]</f>
        <v>48141.060000000005</v>
      </c>
      <c r="I57" s="461">
        <f>Taulukko3[[#This Row],[Vieraskieliset (2023)]]*Taulukko4[[  ]]</f>
        <v>4740</v>
      </c>
      <c r="J57" s="494">
        <f>SUM('TE25 Palveluiden rahoitus'!$G57:$I57)</f>
        <v>140058.14000000001</v>
      </c>
      <c r="K57" s="499"/>
      <c r="L57" s="505">
        <v>72157.338530100562</v>
      </c>
      <c r="M57" s="458">
        <f>'TE25 Palveluiden rahoitus'!$J57*-0.5</f>
        <v>-70029.070000000007</v>
      </c>
      <c r="N57" s="458">
        <f t="shared" si="2"/>
        <v>2128.2685301005549</v>
      </c>
      <c r="O57" s="510">
        <f t="shared" si="3"/>
        <v>142186.40853010057</v>
      </c>
      <c r="P57" s="474"/>
      <c r="Q57" s="514">
        <v>-14264.68</v>
      </c>
    </row>
    <row r="58" spans="1:17" ht="12.75">
      <c r="A58" s="474">
        <v>152</v>
      </c>
      <c r="B58" s="474" t="s">
        <v>58</v>
      </c>
      <c r="C58" s="459">
        <v>2219</v>
      </c>
      <c r="D58" s="459">
        <v>167</v>
      </c>
      <c r="E58" s="459">
        <v>79</v>
      </c>
      <c r="G58" s="493">
        <f>Taulukko3[[#This Row],[Väestö, 18-64-vuotiaat (2023)]]*Taulukko4[Perushinnat, €]</f>
        <v>213046.19</v>
      </c>
      <c r="H58" s="461">
        <f>Taulukko3[[#This Row],[Työttömät ja palveluissa olevat (2023)]]*Taulukko4[[ ]]</f>
        <v>141044.86000000002</v>
      </c>
      <c r="I58" s="461">
        <f>Taulukko3[[#This Row],[Vieraskieliset (2023)]]*Taulukko4[[  ]]</f>
        <v>4680.75</v>
      </c>
      <c r="J58" s="494">
        <f>SUM('TE25 Palveluiden rahoitus'!$G58:$I58)</f>
        <v>358771.80000000005</v>
      </c>
      <c r="K58" s="499"/>
      <c r="L58" s="505">
        <v>221932.35957266472</v>
      </c>
      <c r="M58" s="458">
        <f>'TE25 Palveluiden rahoitus'!$J58*-0.5</f>
        <v>-179385.90000000002</v>
      </c>
      <c r="N58" s="458">
        <f t="shared" si="2"/>
        <v>42546.459572664695</v>
      </c>
      <c r="O58" s="510">
        <f t="shared" si="3"/>
        <v>401318.25957266474</v>
      </c>
      <c r="P58" s="474"/>
      <c r="Q58" s="514">
        <v>-34860.490000000005</v>
      </c>
    </row>
    <row r="59" spans="1:17" ht="12.75">
      <c r="A59" s="474">
        <v>153</v>
      </c>
      <c r="B59" s="474" t="s">
        <v>59</v>
      </c>
      <c r="C59" s="459">
        <v>13249</v>
      </c>
      <c r="D59" s="459">
        <v>2227</v>
      </c>
      <c r="E59" s="459">
        <v>2136</v>
      </c>
      <c r="G59" s="493">
        <f>Taulukko3[[#This Row],[Väestö, 18-64-vuotiaat (2023)]]*Taulukko4[Perushinnat, €]</f>
        <v>1272036.49</v>
      </c>
      <c r="H59" s="461">
        <f>Taulukko3[[#This Row],[Työttömät ja palveluissa olevat (2023)]]*Taulukko4[[ ]]</f>
        <v>1880879.6600000001</v>
      </c>
      <c r="I59" s="461">
        <f>Taulukko3[[#This Row],[Vieraskieliset (2023)]]*Taulukko4[[  ]]</f>
        <v>126558</v>
      </c>
      <c r="J59" s="494">
        <f>SUM('TE25 Palveluiden rahoitus'!$G59:$I59)</f>
        <v>3279474.1500000004</v>
      </c>
      <c r="K59" s="499"/>
      <c r="L59" s="505">
        <v>2664771.6143336981</v>
      </c>
      <c r="M59" s="458">
        <f>'TE25 Palveluiden rahoitus'!$J59*-0.5</f>
        <v>-1639737.0750000002</v>
      </c>
      <c r="N59" s="458">
        <f t="shared" si="2"/>
        <v>1025034.5393336979</v>
      </c>
      <c r="O59" s="510">
        <f t="shared" si="3"/>
        <v>4304508.6893336987</v>
      </c>
      <c r="P59" s="474"/>
      <c r="Q59" s="514">
        <v>-208141.79</v>
      </c>
    </row>
    <row r="60" spans="1:17" ht="12.75">
      <c r="A60" s="474">
        <v>165</v>
      </c>
      <c r="B60" s="474" t="s">
        <v>60</v>
      </c>
      <c r="C60" s="459">
        <v>8879</v>
      </c>
      <c r="D60" s="459">
        <v>864</v>
      </c>
      <c r="E60" s="459">
        <v>612</v>
      </c>
      <c r="G60" s="493">
        <f>Taulukko3[[#This Row],[Väestö, 18-64-vuotiaat (2023)]]*Taulukko4[Perushinnat, €]</f>
        <v>852472.79</v>
      </c>
      <c r="H60" s="461">
        <f>Taulukko3[[#This Row],[Työttömät ja palveluissa olevat (2023)]]*Taulukko4[[ ]]</f>
        <v>729717.12</v>
      </c>
      <c r="I60" s="461">
        <f>Taulukko3[[#This Row],[Vieraskieliset (2023)]]*Taulukko4[[  ]]</f>
        <v>36261</v>
      </c>
      <c r="J60" s="494">
        <f>SUM('TE25 Palveluiden rahoitus'!$G60:$I60)</f>
        <v>1618450.9100000001</v>
      </c>
      <c r="K60" s="499"/>
      <c r="L60" s="505">
        <v>729754.22355509864</v>
      </c>
      <c r="M60" s="458">
        <f>'TE25 Palveluiden rahoitus'!$J60*-0.5</f>
        <v>-809225.45500000007</v>
      </c>
      <c r="N60" s="458">
        <f t="shared" si="2"/>
        <v>-79471.231444901437</v>
      </c>
      <c r="O60" s="510">
        <f t="shared" si="3"/>
        <v>1538979.6785550988</v>
      </c>
      <c r="P60" s="474"/>
      <c r="Q60" s="514">
        <v>-139489.09</v>
      </c>
    </row>
    <row r="61" spans="1:17" ht="12.75">
      <c r="A61" s="474">
        <v>167</v>
      </c>
      <c r="B61" s="474" t="s">
        <v>61</v>
      </c>
      <c r="C61" s="459">
        <v>47403</v>
      </c>
      <c r="D61" s="459">
        <v>6813</v>
      </c>
      <c r="E61" s="459">
        <v>5753</v>
      </c>
      <c r="G61" s="493">
        <f>Taulukko3[[#This Row],[Väestö, 18-64-vuotiaat (2023)]]*Taulukko4[Perushinnat, €]</f>
        <v>4551162.03</v>
      </c>
      <c r="H61" s="461">
        <f>Taulukko3[[#This Row],[Työttömät ja palveluissa olevat (2023)]]*Taulukko4[[ ]]</f>
        <v>5754123.54</v>
      </c>
      <c r="I61" s="461">
        <f>Taulukko3[[#This Row],[Vieraskieliset (2023)]]*Taulukko4[[  ]]</f>
        <v>340865.25</v>
      </c>
      <c r="J61" s="494">
        <f>SUM('TE25 Palveluiden rahoitus'!$G61:$I61)</f>
        <v>10646150.82</v>
      </c>
      <c r="K61" s="499"/>
      <c r="L61" s="505">
        <v>6368509.9601260917</v>
      </c>
      <c r="M61" s="458">
        <f>'TE25 Palveluiden rahoitus'!$J61*-0.5</f>
        <v>-5323075.41</v>
      </c>
      <c r="N61" s="458">
        <f t="shared" si="2"/>
        <v>1045434.5501260916</v>
      </c>
      <c r="O61" s="510">
        <f t="shared" si="3"/>
        <v>11691585.370126091</v>
      </c>
      <c r="P61" s="474"/>
      <c r="Q61" s="514">
        <v>-744701.13</v>
      </c>
    </row>
    <row r="62" spans="1:17" ht="12.75">
      <c r="A62" s="474">
        <v>169</v>
      </c>
      <c r="B62" s="474" t="s">
        <v>62</v>
      </c>
      <c r="C62" s="459">
        <v>2589</v>
      </c>
      <c r="D62" s="459">
        <v>248</v>
      </c>
      <c r="E62" s="459">
        <v>172</v>
      </c>
      <c r="G62" s="493">
        <f>Taulukko3[[#This Row],[Väestö, 18-64-vuotiaat (2023)]]*Taulukko4[Perushinnat, €]</f>
        <v>248569.89</v>
      </c>
      <c r="H62" s="461">
        <f>Taulukko3[[#This Row],[Työttömät ja palveluissa olevat (2023)]]*Taulukko4[[ ]]</f>
        <v>209455.84</v>
      </c>
      <c r="I62" s="461">
        <f>Taulukko3[[#This Row],[Vieraskieliset (2023)]]*Taulukko4[[  ]]</f>
        <v>10191</v>
      </c>
      <c r="J62" s="494">
        <f>SUM('TE25 Palveluiden rahoitus'!$G62:$I62)</f>
        <v>468216.73</v>
      </c>
      <c r="K62" s="499"/>
      <c r="L62" s="505">
        <v>193334.91104067105</v>
      </c>
      <c r="M62" s="458">
        <f>'TE25 Palveluiden rahoitus'!$J62*-0.5</f>
        <v>-234108.36499999999</v>
      </c>
      <c r="N62" s="458">
        <f t="shared" si="2"/>
        <v>-40773.453959328937</v>
      </c>
      <c r="O62" s="510">
        <f t="shared" si="3"/>
        <v>427443.27604067104</v>
      </c>
      <c r="P62" s="474"/>
      <c r="Q62" s="514">
        <v>-40673.19</v>
      </c>
    </row>
    <row r="63" spans="1:17" ht="12.75">
      <c r="A63" s="474">
        <v>171</v>
      </c>
      <c r="B63" s="474" t="s">
        <v>63</v>
      </c>
      <c r="C63" s="459">
        <v>2333</v>
      </c>
      <c r="D63" s="459">
        <v>253</v>
      </c>
      <c r="E63" s="459">
        <v>262</v>
      </c>
      <c r="G63" s="493">
        <f>Taulukko3[[#This Row],[Väestö, 18-64-vuotiaat (2023)]]*Taulukko4[Perushinnat, €]</f>
        <v>223991.33000000002</v>
      </c>
      <c r="H63" s="461">
        <f>Taulukko3[[#This Row],[Työttömät ja palveluissa olevat (2023)]]*Taulukko4[[ ]]</f>
        <v>213678.74000000002</v>
      </c>
      <c r="I63" s="461">
        <f>Taulukko3[[#This Row],[Vieraskieliset (2023)]]*Taulukko4[[  ]]</f>
        <v>15523.5</v>
      </c>
      <c r="J63" s="494">
        <f>SUM('TE25 Palveluiden rahoitus'!$G63:$I63)</f>
        <v>453193.57000000007</v>
      </c>
      <c r="K63" s="499"/>
      <c r="L63" s="505">
        <v>296072.86063577281</v>
      </c>
      <c r="M63" s="458">
        <f>'TE25 Palveluiden rahoitus'!$J63*-0.5</f>
        <v>-226596.78500000003</v>
      </c>
      <c r="N63" s="458">
        <f t="shared" si="2"/>
        <v>69476.075635772781</v>
      </c>
      <c r="O63" s="510">
        <f t="shared" si="3"/>
        <v>522669.64563577285</v>
      </c>
      <c r="P63" s="474"/>
      <c r="Q63" s="514">
        <v>-36651.43</v>
      </c>
    </row>
    <row r="64" spans="1:17" ht="12.75">
      <c r="A64" s="474">
        <v>172</v>
      </c>
      <c r="B64" s="474" t="s">
        <v>64</v>
      </c>
      <c r="C64" s="459">
        <v>1888</v>
      </c>
      <c r="D64" s="459">
        <v>265</v>
      </c>
      <c r="E64" s="459">
        <v>120</v>
      </c>
      <c r="G64" s="493">
        <f>Taulukko3[[#This Row],[Väestö, 18-64-vuotiaat (2023)]]*Taulukko4[Perushinnat, €]</f>
        <v>181266.88</v>
      </c>
      <c r="H64" s="461">
        <f>Taulukko3[[#This Row],[Työttömät ja palveluissa olevat (2023)]]*Taulukko4[[ ]]</f>
        <v>223813.7</v>
      </c>
      <c r="I64" s="461">
        <f>Taulukko3[[#This Row],[Vieraskieliset (2023)]]*Taulukko4[[  ]]</f>
        <v>7110</v>
      </c>
      <c r="J64" s="494">
        <f>SUM('TE25 Palveluiden rahoitus'!$G64:$I64)</f>
        <v>412190.58</v>
      </c>
      <c r="K64" s="499"/>
      <c r="L64" s="505">
        <v>273222.1143527762</v>
      </c>
      <c r="M64" s="458">
        <f>'TE25 Palveluiden rahoitus'!$J64*-0.5</f>
        <v>-206095.29</v>
      </c>
      <c r="N64" s="458">
        <f t="shared" si="2"/>
        <v>67126.824352776195</v>
      </c>
      <c r="O64" s="510">
        <f t="shared" si="3"/>
        <v>479317.40435277624</v>
      </c>
      <c r="P64" s="474"/>
      <c r="Q64" s="514">
        <v>-29660.480000000003</v>
      </c>
    </row>
    <row r="65" spans="1:17" ht="12.75">
      <c r="A65" s="474">
        <v>176</v>
      </c>
      <c r="B65" s="474" t="s">
        <v>65</v>
      </c>
      <c r="C65" s="459">
        <v>2050</v>
      </c>
      <c r="D65" s="459">
        <v>357</v>
      </c>
      <c r="E65" s="459">
        <v>136</v>
      </c>
      <c r="G65" s="493">
        <f>Taulukko3[[#This Row],[Väestö, 18-64-vuotiaat (2023)]]*Taulukko4[Perushinnat, €]</f>
        <v>196820.5</v>
      </c>
      <c r="H65" s="461">
        <f>Taulukko3[[#This Row],[Työttömät ja palveluissa olevat (2023)]]*Taulukko4[[ ]]</f>
        <v>301515.06</v>
      </c>
      <c r="I65" s="461">
        <f>Taulukko3[[#This Row],[Vieraskieliset (2023)]]*Taulukko4[[  ]]</f>
        <v>8058</v>
      </c>
      <c r="J65" s="494">
        <f>SUM('TE25 Palveluiden rahoitus'!$G65:$I65)</f>
        <v>506393.56</v>
      </c>
      <c r="K65" s="499"/>
      <c r="L65" s="505">
        <v>309251.48322269856</v>
      </c>
      <c r="M65" s="458">
        <f>'TE25 Palveluiden rahoitus'!$J65*-0.5</f>
        <v>-253196.78</v>
      </c>
      <c r="N65" s="458">
        <f t="shared" si="2"/>
        <v>56054.703222698561</v>
      </c>
      <c r="O65" s="510">
        <f t="shared" si="3"/>
        <v>562448.26322269859</v>
      </c>
      <c r="P65" s="474"/>
      <c r="Q65" s="514">
        <v>-32205.5</v>
      </c>
    </row>
    <row r="66" spans="1:17" ht="12.75">
      <c r="A66" s="474">
        <v>177</v>
      </c>
      <c r="B66" s="474" t="s">
        <v>66</v>
      </c>
      <c r="C66" s="459">
        <v>850</v>
      </c>
      <c r="D66" s="459">
        <v>83</v>
      </c>
      <c r="E66" s="459">
        <v>29</v>
      </c>
      <c r="G66" s="493">
        <f>Taulukko3[[#This Row],[Väestö, 18-64-vuotiaat (2023)]]*Taulukko4[Perushinnat, €]</f>
        <v>81608.5</v>
      </c>
      <c r="H66" s="461">
        <f>Taulukko3[[#This Row],[Työttömät ja palveluissa olevat (2023)]]*Taulukko4[[ ]]</f>
        <v>70100.14</v>
      </c>
      <c r="I66" s="461">
        <f>Taulukko3[[#This Row],[Vieraskieliset (2023)]]*Taulukko4[[  ]]</f>
        <v>1718.25</v>
      </c>
      <c r="J66" s="494">
        <f>SUM('TE25 Palveluiden rahoitus'!$G66:$I66)</f>
        <v>153426.89000000001</v>
      </c>
      <c r="K66" s="499"/>
      <c r="L66" s="505">
        <v>83562.061743554019</v>
      </c>
      <c r="M66" s="458">
        <f>'TE25 Palveluiden rahoitus'!$J66*-0.5</f>
        <v>-76713.445000000007</v>
      </c>
      <c r="N66" s="458">
        <f t="shared" si="2"/>
        <v>6848.6167435540119</v>
      </c>
      <c r="O66" s="510">
        <f t="shared" si="3"/>
        <v>160275.50674355403</v>
      </c>
      <c r="P66" s="474"/>
      <c r="Q66" s="514">
        <v>-13353.5</v>
      </c>
    </row>
    <row r="67" spans="1:17" ht="12.75">
      <c r="A67" s="474">
        <v>178</v>
      </c>
      <c r="B67" s="474" t="s">
        <v>67</v>
      </c>
      <c r="C67" s="459">
        <v>2743</v>
      </c>
      <c r="D67" s="459">
        <v>267</v>
      </c>
      <c r="E67" s="459">
        <v>226</v>
      </c>
      <c r="G67" s="493">
        <f>Taulukko3[[#This Row],[Väestö, 18-64-vuotiaat (2023)]]*Taulukko4[Perushinnat, €]</f>
        <v>263355.43</v>
      </c>
      <c r="H67" s="461">
        <f>Taulukko3[[#This Row],[Työttömät ja palveluissa olevat (2023)]]*Taulukko4[[ ]]</f>
        <v>225502.86000000002</v>
      </c>
      <c r="I67" s="461">
        <f>Taulukko3[[#This Row],[Vieraskieliset (2023)]]*Taulukko4[[  ]]</f>
        <v>13390.5</v>
      </c>
      <c r="J67" s="494">
        <f>SUM('TE25 Palveluiden rahoitus'!$G67:$I67)</f>
        <v>502248.79000000004</v>
      </c>
      <c r="K67" s="499"/>
      <c r="L67" s="505">
        <v>258701.33524711442</v>
      </c>
      <c r="M67" s="458">
        <f>'TE25 Palveluiden rahoitus'!$J67*-0.5</f>
        <v>-251124.39500000002</v>
      </c>
      <c r="N67" s="458">
        <f t="shared" si="2"/>
        <v>7576.9402471143985</v>
      </c>
      <c r="O67" s="510">
        <f t="shared" si="3"/>
        <v>509825.73024711444</v>
      </c>
      <c r="P67" s="474"/>
      <c r="Q67" s="514">
        <v>-43092.53</v>
      </c>
    </row>
    <row r="68" spans="1:17" ht="12.75">
      <c r="A68" s="474">
        <v>179</v>
      </c>
      <c r="B68" s="474" t="s">
        <v>68</v>
      </c>
      <c r="C68" s="459">
        <v>93446</v>
      </c>
      <c r="D68" s="459">
        <v>13154</v>
      </c>
      <c r="E68" s="459">
        <v>10003</v>
      </c>
      <c r="G68" s="493">
        <f>Taulukko3[[#This Row],[Väestö, 18-64-vuotiaat (2023)]]*Taulukko4[Perushinnat, €]</f>
        <v>8971750.4600000009</v>
      </c>
      <c r="H68" s="461">
        <f>Taulukko3[[#This Row],[Työttömät ja palveluissa olevat (2023)]]*Taulukko4[[ ]]</f>
        <v>11109605.32</v>
      </c>
      <c r="I68" s="461">
        <f>Taulukko3[[#This Row],[Vieraskieliset (2023)]]*Taulukko4[[  ]]</f>
        <v>592677.75</v>
      </c>
      <c r="J68" s="494">
        <f>SUM('TE25 Palveluiden rahoitus'!$G68:$I68)</f>
        <v>20674033.530000001</v>
      </c>
      <c r="K68" s="499"/>
      <c r="L68" s="505">
        <v>12951553.609384252</v>
      </c>
      <c r="M68" s="458">
        <f>'TE25 Palveluiden rahoitus'!$J68*-0.5</f>
        <v>-10337016.765000001</v>
      </c>
      <c r="N68" s="458">
        <f t="shared" si="2"/>
        <v>2614536.8443842512</v>
      </c>
      <c r="O68" s="510">
        <f t="shared" si="3"/>
        <v>23288570.374384254</v>
      </c>
      <c r="P68" s="474"/>
      <c r="Q68" s="514">
        <v>-1468036.6600000001</v>
      </c>
    </row>
    <row r="69" spans="1:17" ht="12.75">
      <c r="A69" s="474">
        <v>181</v>
      </c>
      <c r="B69" s="474" t="s">
        <v>69</v>
      </c>
      <c r="C69" s="459">
        <v>842</v>
      </c>
      <c r="D69" s="459">
        <v>74</v>
      </c>
      <c r="E69" s="459">
        <v>53</v>
      </c>
      <c r="G69" s="493">
        <f>Taulukko3[[#This Row],[Väestö, 18-64-vuotiaat (2023)]]*Taulukko4[Perushinnat, €]</f>
        <v>80840.42</v>
      </c>
      <c r="H69" s="461">
        <f>Taulukko3[[#This Row],[Työttömät ja palveluissa olevat (2023)]]*Taulukko4[[ ]]</f>
        <v>62498.920000000006</v>
      </c>
      <c r="I69" s="461">
        <f>Taulukko3[[#This Row],[Vieraskieliset (2023)]]*Taulukko4[[  ]]</f>
        <v>3140.25</v>
      </c>
      <c r="J69" s="494">
        <f>SUM('TE25 Palveluiden rahoitus'!$G69:$I69)</f>
        <v>146479.59</v>
      </c>
      <c r="K69" s="499"/>
      <c r="L69" s="505">
        <v>76433.946683825518</v>
      </c>
      <c r="M69" s="458">
        <f>'TE25 Palveluiden rahoitus'!$J69*-0.5</f>
        <v>-73239.794999999998</v>
      </c>
      <c r="N69" s="458">
        <f t="shared" si="2"/>
        <v>3194.1516838255193</v>
      </c>
      <c r="O69" s="510">
        <f t="shared" si="3"/>
        <v>149673.7416838255</v>
      </c>
      <c r="P69" s="474"/>
      <c r="Q69" s="514">
        <v>-13227.820000000002</v>
      </c>
    </row>
    <row r="70" spans="1:17" ht="12.75">
      <c r="A70" s="474">
        <v>182</v>
      </c>
      <c r="B70" s="474" t="s">
        <v>70</v>
      </c>
      <c r="C70" s="459">
        <v>9699</v>
      </c>
      <c r="D70" s="459">
        <v>1584</v>
      </c>
      <c r="E70" s="459">
        <v>630</v>
      </c>
      <c r="G70" s="493">
        <f>Taulukko3[[#This Row],[Väestö, 18-64-vuotiaat (2023)]]*Taulukko4[Perushinnat, €]</f>
        <v>931200.99000000011</v>
      </c>
      <c r="H70" s="461">
        <f>Taulukko3[[#This Row],[Työttömät ja palveluissa olevat (2023)]]*Taulukko4[[ ]]</f>
        <v>1337814.72</v>
      </c>
      <c r="I70" s="461">
        <f>Taulukko3[[#This Row],[Vieraskieliset (2023)]]*Taulukko4[[  ]]</f>
        <v>37327.5</v>
      </c>
      <c r="J70" s="494">
        <f>SUM('TE25 Palveluiden rahoitus'!$G70:$I70)</f>
        <v>2306343.21</v>
      </c>
      <c r="K70" s="499"/>
      <c r="L70" s="505">
        <v>1271090.6297662812</v>
      </c>
      <c r="M70" s="458">
        <f>'TE25 Palveluiden rahoitus'!$J70*-0.5</f>
        <v>-1153171.605</v>
      </c>
      <c r="N70" s="458">
        <f t="shared" si="2"/>
        <v>117919.02476628125</v>
      </c>
      <c r="O70" s="510">
        <f t="shared" si="3"/>
        <v>2424262.2347662812</v>
      </c>
      <c r="P70" s="474"/>
      <c r="Q70" s="514">
        <v>-152371.29</v>
      </c>
    </row>
    <row r="71" spans="1:17" ht="12.75">
      <c r="A71" s="474">
        <v>186</v>
      </c>
      <c r="B71" s="474" t="s">
        <v>71</v>
      </c>
      <c r="C71" s="459">
        <v>28047</v>
      </c>
      <c r="D71" s="459">
        <v>3005</v>
      </c>
      <c r="E71" s="459">
        <v>3945</v>
      </c>
      <c r="G71" s="493">
        <f>Taulukko3[[#This Row],[Väestö, 18-64-vuotiaat (2023)]]*Taulukko4[Perushinnat, €]</f>
        <v>2692792.47</v>
      </c>
      <c r="H71" s="461">
        <f>Taulukko3[[#This Row],[Työttömät ja palveluissa olevat (2023)]]*Taulukko4[[ ]]</f>
        <v>2537962.9</v>
      </c>
      <c r="I71" s="461">
        <f>Taulukko3[[#This Row],[Vieraskieliset (2023)]]*Taulukko4[[  ]]</f>
        <v>233741.25</v>
      </c>
      <c r="J71" s="494">
        <f>SUM('TE25 Palveluiden rahoitus'!$G71:$I71)</f>
        <v>5464496.6200000001</v>
      </c>
      <c r="K71" s="499"/>
      <c r="L71" s="505">
        <v>1965425.4737181789</v>
      </c>
      <c r="M71" s="458">
        <f>'TE25 Palveluiden rahoitus'!$J71*-0.5</f>
        <v>-2732248.31</v>
      </c>
      <c r="N71" s="458">
        <f t="shared" si="2"/>
        <v>-766822.83628182113</v>
      </c>
      <c r="O71" s="510">
        <f t="shared" si="3"/>
        <v>4697673.783718178</v>
      </c>
      <c r="P71" s="474"/>
      <c r="Q71" s="514">
        <v>-440618.37</v>
      </c>
    </row>
    <row r="72" spans="1:17" ht="12.75">
      <c r="A72" s="474">
        <v>202</v>
      </c>
      <c r="B72" s="474" t="s">
        <v>72</v>
      </c>
      <c r="C72" s="459">
        <v>20500</v>
      </c>
      <c r="D72" s="459">
        <v>1482</v>
      </c>
      <c r="E72" s="459">
        <v>2306</v>
      </c>
      <c r="G72" s="493">
        <f>Taulukko3[[#This Row],[Väestö, 18-64-vuotiaat (2023)]]*Taulukko4[Perushinnat, €]</f>
        <v>1968205</v>
      </c>
      <c r="H72" s="461">
        <f>Taulukko3[[#This Row],[Työttömät ja palveluissa olevat (2023)]]*Taulukko4[[ ]]</f>
        <v>1251667.56</v>
      </c>
      <c r="I72" s="461">
        <f>Taulukko3[[#This Row],[Vieraskieliset (2023)]]*Taulukko4[[  ]]</f>
        <v>136630.5</v>
      </c>
      <c r="J72" s="494">
        <f>SUM('TE25 Palveluiden rahoitus'!$G72:$I72)</f>
        <v>3356503.06</v>
      </c>
      <c r="K72" s="499"/>
      <c r="L72" s="505">
        <v>1368379.6577024162</v>
      </c>
      <c r="M72" s="458">
        <f>'TE25 Palveluiden rahoitus'!$J72*-0.5</f>
        <v>-1678251.53</v>
      </c>
      <c r="N72" s="458">
        <f t="shared" si="2"/>
        <v>-309871.87229758385</v>
      </c>
      <c r="O72" s="510">
        <f t="shared" si="3"/>
        <v>3046631.1877024164</v>
      </c>
      <c r="P72" s="474"/>
      <c r="Q72" s="514">
        <v>-322055</v>
      </c>
    </row>
    <row r="73" spans="1:17" ht="12.75">
      <c r="A73" s="474">
        <v>204</v>
      </c>
      <c r="B73" s="474" t="s">
        <v>73</v>
      </c>
      <c r="C73" s="459">
        <v>1274</v>
      </c>
      <c r="D73" s="459">
        <v>172</v>
      </c>
      <c r="E73" s="459">
        <v>49</v>
      </c>
      <c r="G73" s="493">
        <f>Taulukko3[[#This Row],[Väestö, 18-64-vuotiaat (2023)]]*Taulukko4[Perushinnat, €]</f>
        <v>122316.74</v>
      </c>
      <c r="H73" s="461">
        <f>Taulukko3[[#This Row],[Työttömät ja palveluissa olevat (2023)]]*Taulukko4[[ ]]</f>
        <v>145267.76</v>
      </c>
      <c r="I73" s="461">
        <f>Taulukko3[[#This Row],[Vieraskieliset (2023)]]*Taulukko4[[  ]]</f>
        <v>2903.25</v>
      </c>
      <c r="J73" s="494">
        <f>SUM('TE25 Palveluiden rahoitus'!$G73:$I73)</f>
        <v>270487.75</v>
      </c>
      <c r="K73" s="499"/>
      <c r="L73" s="505">
        <v>159066.25064414018</v>
      </c>
      <c r="M73" s="458">
        <f>'TE25 Palveluiden rahoitus'!$J73*-0.5</f>
        <v>-135243.875</v>
      </c>
      <c r="N73" s="458">
        <f t="shared" si="2"/>
        <v>23822.375644140178</v>
      </c>
      <c r="O73" s="510">
        <f t="shared" si="3"/>
        <v>294310.12564414018</v>
      </c>
      <c r="P73" s="474"/>
      <c r="Q73" s="514">
        <v>-20014.54</v>
      </c>
    </row>
    <row r="74" spans="1:17" ht="12.75">
      <c r="A74" s="474">
        <v>205</v>
      </c>
      <c r="B74" s="474" t="s">
        <v>74</v>
      </c>
      <c r="C74" s="459">
        <v>20713</v>
      </c>
      <c r="D74" s="459">
        <v>2536</v>
      </c>
      <c r="E74" s="459">
        <v>2501</v>
      </c>
      <c r="G74" s="493">
        <f>Taulukko3[[#This Row],[Väestö, 18-64-vuotiaat (2023)]]*Taulukko4[Perushinnat, €]</f>
        <v>1988655.1300000001</v>
      </c>
      <c r="H74" s="461">
        <f>Taulukko3[[#This Row],[Työttömät ja palveluissa olevat (2023)]]*Taulukko4[[ ]]</f>
        <v>2141854.88</v>
      </c>
      <c r="I74" s="461">
        <f>Taulukko3[[#This Row],[Vieraskieliset (2023)]]*Taulukko4[[  ]]</f>
        <v>148184.25</v>
      </c>
      <c r="J74" s="494">
        <f>SUM('TE25 Palveluiden rahoitus'!$G74:$I74)</f>
        <v>4278694.26</v>
      </c>
      <c r="K74" s="499"/>
      <c r="L74" s="505">
        <v>3678979.3395907013</v>
      </c>
      <c r="M74" s="458">
        <f>'TE25 Palveluiden rahoitus'!$J74*-0.5</f>
        <v>-2139347.13</v>
      </c>
      <c r="N74" s="458">
        <f t="shared" si="2"/>
        <v>1539632.2095907014</v>
      </c>
      <c r="O74" s="510">
        <f t="shared" si="3"/>
        <v>5818326.4695907012</v>
      </c>
      <c r="P74" s="474"/>
      <c r="Q74" s="514">
        <v>-325401.23000000004</v>
      </c>
    </row>
    <row r="75" spans="1:17" ht="12.75">
      <c r="A75" s="474">
        <v>208</v>
      </c>
      <c r="B75" s="474" t="s">
        <v>75</v>
      </c>
      <c r="C75" s="459">
        <v>6326</v>
      </c>
      <c r="D75" s="459">
        <v>571</v>
      </c>
      <c r="E75" s="459">
        <v>472</v>
      </c>
      <c r="G75" s="493">
        <f>Taulukko3[[#This Row],[Väestö, 18-64-vuotiaat (2023)]]*Taulukko4[Perushinnat, €]</f>
        <v>607359.26</v>
      </c>
      <c r="H75" s="461">
        <f>Taulukko3[[#This Row],[Työttömät ja palveluissa olevat (2023)]]*Taulukko4[[ ]]</f>
        <v>482255.18000000005</v>
      </c>
      <c r="I75" s="461">
        <f>Taulukko3[[#This Row],[Vieraskieliset (2023)]]*Taulukko4[[  ]]</f>
        <v>27966</v>
      </c>
      <c r="J75" s="494">
        <f>SUM('TE25 Palveluiden rahoitus'!$G75:$I75)</f>
        <v>1117580.44</v>
      </c>
      <c r="K75" s="499"/>
      <c r="L75" s="505">
        <v>499383.92194510682</v>
      </c>
      <c r="M75" s="458">
        <f>'TE25 Palveluiden rahoitus'!$J75*-0.5</f>
        <v>-558790.22</v>
      </c>
      <c r="N75" s="458">
        <f t="shared" si="2"/>
        <v>-59406.298054893152</v>
      </c>
      <c r="O75" s="510">
        <f t="shared" si="3"/>
        <v>1058174.1419451067</v>
      </c>
      <c r="P75" s="474"/>
      <c r="Q75" s="514">
        <v>-99381.46</v>
      </c>
    </row>
    <row r="76" spans="1:17" ht="12.75">
      <c r="A76" s="474">
        <v>211</v>
      </c>
      <c r="B76" s="474" t="s">
        <v>76</v>
      </c>
      <c r="C76" s="459">
        <v>19045</v>
      </c>
      <c r="D76" s="459">
        <v>1486</v>
      </c>
      <c r="E76" s="459">
        <v>1132</v>
      </c>
      <c r="G76" s="493">
        <f>Taulukko3[[#This Row],[Väestö, 18-64-vuotiaat (2023)]]*Taulukko4[Perushinnat, €]</f>
        <v>1828510.4500000002</v>
      </c>
      <c r="H76" s="461">
        <f>Taulukko3[[#This Row],[Työttömät ja palveluissa olevat (2023)]]*Taulukko4[[ ]]</f>
        <v>1255045.8800000001</v>
      </c>
      <c r="I76" s="461">
        <f>Taulukko3[[#This Row],[Vieraskieliset (2023)]]*Taulukko4[[  ]]</f>
        <v>67071</v>
      </c>
      <c r="J76" s="494">
        <f>SUM('TE25 Palveluiden rahoitus'!$G76:$I76)</f>
        <v>3150627.33</v>
      </c>
      <c r="K76" s="499"/>
      <c r="L76" s="505">
        <v>1194028.4251426922</v>
      </c>
      <c r="M76" s="458">
        <f>'TE25 Palveluiden rahoitus'!$J76*-0.5</f>
        <v>-1575313.665</v>
      </c>
      <c r="N76" s="458">
        <f t="shared" si="2"/>
        <v>-381285.23985730787</v>
      </c>
      <c r="O76" s="510">
        <f t="shared" si="3"/>
        <v>2769342.0901426924</v>
      </c>
      <c r="P76" s="474"/>
      <c r="Q76" s="514">
        <v>-299196.95</v>
      </c>
    </row>
    <row r="77" spans="1:17" ht="12.75">
      <c r="A77" s="474">
        <v>213</v>
      </c>
      <c r="B77" s="474" t="s">
        <v>77</v>
      </c>
      <c r="C77" s="459">
        <v>2435</v>
      </c>
      <c r="D77" s="459">
        <v>312</v>
      </c>
      <c r="E77" s="459">
        <v>143</v>
      </c>
      <c r="G77" s="493">
        <f>Taulukko3[[#This Row],[Väestö, 18-64-vuotiaat (2023)]]*Taulukko4[Perushinnat, €]</f>
        <v>233784.35</v>
      </c>
      <c r="H77" s="461">
        <f>Taulukko3[[#This Row],[Työttömät ja palveluissa olevat (2023)]]*Taulukko4[[ ]]</f>
        <v>263508.96000000002</v>
      </c>
      <c r="I77" s="461">
        <f>Taulukko3[[#This Row],[Vieraskieliset (2023)]]*Taulukko4[[  ]]</f>
        <v>8472.75</v>
      </c>
      <c r="J77" s="494">
        <f>SUM('TE25 Palveluiden rahoitus'!$G77:$I77)</f>
        <v>505766.06000000006</v>
      </c>
      <c r="K77" s="499"/>
      <c r="L77" s="505">
        <v>451020.25516313524</v>
      </c>
      <c r="M77" s="458">
        <f>'TE25 Palveluiden rahoitus'!$J77*-0.5</f>
        <v>-252883.03000000003</v>
      </c>
      <c r="N77" s="458">
        <f t="shared" ref="N77:N140" si="4">L77+M77</f>
        <v>198137.22516313521</v>
      </c>
      <c r="O77" s="510">
        <f t="shared" ref="O77:O140" si="5">J77+L77+M77</f>
        <v>703903.28516313527</v>
      </c>
      <c r="P77" s="474"/>
      <c r="Q77" s="514">
        <v>-38253.85</v>
      </c>
    </row>
    <row r="78" spans="1:17" ht="12.75">
      <c r="A78" s="474">
        <v>214</v>
      </c>
      <c r="B78" s="474" t="s">
        <v>78</v>
      </c>
      <c r="C78" s="459">
        <v>6496</v>
      </c>
      <c r="D78" s="459">
        <v>841</v>
      </c>
      <c r="E78" s="459">
        <v>636</v>
      </c>
      <c r="G78" s="493">
        <f>Taulukko3[[#This Row],[Väestö, 18-64-vuotiaat (2023)]]*Taulukko4[Perushinnat, €]</f>
        <v>623680.96000000008</v>
      </c>
      <c r="H78" s="461">
        <f>Taulukko3[[#This Row],[Työttömät ja palveluissa olevat (2023)]]*Taulukko4[[ ]]</f>
        <v>710291.78</v>
      </c>
      <c r="I78" s="461">
        <f>Taulukko3[[#This Row],[Vieraskieliset (2023)]]*Taulukko4[[  ]]</f>
        <v>37683</v>
      </c>
      <c r="J78" s="494">
        <f>SUM('TE25 Palveluiden rahoitus'!$G78:$I78)</f>
        <v>1371655.7400000002</v>
      </c>
      <c r="K78" s="499"/>
      <c r="L78" s="505">
        <v>879045.60767642187</v>
      </c>
      <c r="M78" s="458">
        <f>'TE25 Palveluiden rahoitus'!$J78*-0.5</f>
        <v>-685827.87000000011</v>
      </c>
      <c r="N78" s="458">
        <f t="shared" si="4"/>
        <v>193217.73767642176</v>
      </c>
      <c r="O78" s="510">
        <f t="shared" si="5"/>
        <v>1564873.4776764219</v>
      </c>
      <c r="P78" s="474"/>
      <c r="Q78" s="514">
        <v>-102052.16</v>
      </c>
    </row>
    <row r="79" spans="1:17" ht="12.75">
      <c r="A79" s="474">
        <v>216</v>
      </c>
      <c r="B79" s="474" t="s">
        <v>79</v>
      </c>
      <c r="C79" s="459">
        <v>569</v>
      </c>
      <c r="D79" s="459">
        <v>84</v>
      </c>
      <c r="E79" s="459">
        <v>19</v>
      </c>
      <c r="G79" s="493">
        <f>Taulukko3[[#This Row],[Väestö, 18-64-vuotiaat (2023)]]*Taulukko4[Perushinnat, €]</f>
        <v>54629.69</v>
      </c>
      <c r="H79" s="461">
        <f>Taulukko3[[#This Row],[Työttömät ja palveluissa olevat (2023)]]*Taulukko4[[ ]]</f>
        <v>70944.72</v>
      </c>
      <c r="I79" s="461">
        <f>Taulukko3[[#This Row],[Vieraskieliset (2023)]]*Taulukko4[[  ]]</f>
        <v>1125.75</v>
      </c>
      <c r="J79" s="494">
        <f>SUM('TE25 Palveluiden rahoitus'!$G79:$I79)</f>
        <v>126700.16</v>
      </c>
      <c r="K79" s="499"/>
      <c r="L79" s="505">
        <v>94456.651450610152</v>
      </c>
      <c r="M79" s="458">
        <f>'TE25 Palveluiden rahoitus'!$J79*-0.5</f>
        <v>-63350.080000000002</v>
      </c>
      <c r="N79" s="458">
        <f t="shared" si="4"/>
        <v>31106.57145061015</v>
      </c>
      <c r="O79" s="510">
        <f t="shared" si="5"/>
        <v>157806.73145061015</v>
      </c>
      <c r="P79" s="474"/>
      <c r="Q79" s="514">
        <v>-8938.99</v>
      </c>
    </row>
    <row r="80" spans="1:17" ht="12.75">
      <c r="A80" s="474">
        <v>217</v>
      </c>
      <c r="B80" s="474" t="s">
        <v>80</v>
      </c>
      <c r="C80" s="459">
        <v>2719</v>
      </c>
      <c r="D80" s="459">
        <v>280</v>
      </c>
      <c r="E80" s="459">
        <v>146</v>
      </c>
      <c r="G80" s="493">
        <f>Taulukko3[[#This Row],[Väestö, 18-64-vuotiaat (2023)]]*Taulukko4[Perushinnat, €]</f>
        <v>261051.19</v>
      </c>
      <c r="H80" s="461">
        <f>Taulukko3[[#This Row],[Työttömät ja palveluissa olevat (2023)]]*Taulukko4[[ ]]</f>
        <v>236482.40000000002</v>
      </c>
      <c r="I80" s="461">
        <f>Taulukko3[[#This Row],[Vieraskieliset (2023)]]*Taulukko4[[  ]]</f>
        <v>8650.5</v>
      </c>
      <c r="J80" s="494">
        <f>SUM('TE25 Palveluiden rahoitus'!$G80:$I80)</f>
        <v>506184.09</v>
      </c>
      <c r="K80" s="499"/>
      <c r="L80" s="505">
        <v>218747.82444391082</v>
      </c>
      <c r="M80" s="458">
        <f>'TE25 Palveluiden rahoitus'!$J80*-0.5</f>
        <v>-253092.04500000001</v>
      </c>
      <c r="N80" s="458">
        <f t="shared" si="4"/>
        <v>-34344.220556089189</v>
      </c>
      <c r="O80" s="510">
        <f t="shared" si="5"/>
        <v>471839.86944391078</v>
      </c>
      <c r="P80" s="474"/>
      <c r="Q80" s="514">
        <v>-42715.490000000005</v>
      </c>
    </row>
    <row r="81" spans="1:17" ht="12.75">
      <c r="A81" s="474">
        <v>218</v>
      </c>
      <c r="B81" s="474" t="s">
        <v>81</v>
      </c>
      <c r="C81" s="459">
        <v>571</v>
      </c>
      <c r="D81" s="459">
        <v>48</v>
      </c>
      <c r="E81" s="459">
        <v>27</v>
      </c>
      <c r="G81" s="493">
        <f>Taulukko3[[#This Row],[Väestö, 18-64-vuotiaat (2023)]]*Taulukko4[Perushinnat, €]</f>
        <v>54821.710000000006</v>
      </c>
      <c r="H81" s="461">
        <f>Taulukko3[[#This Row],[Työttömät ja palveluissa olevat (2023)]]*Taulukko4[[ ]]</f>
        <v>40539.840000000004</v>
      </c>
      <c r="I81" s="461">
        <f>Taulukko3[[#This Row],[Vieraskieliset (2023)]]*Taulukko4[[  ]]</f>
        <v>1599.75</v>
      </c>
      <c r="J81" s="494">
        <f>SUM('TE25 Palveluiden rahoitus'!$G81:$I81)</f>
        <v>96961.300000000017</v>
      </c>
      <c r="K81" s="499"/>
      <c r="L81" s="505">
        <v>51033.133552582178</v>
      </c>
      <c r="M81" s="458">
        <f>'TE25 Palveluiden rahoitus'!$J81*-0.5</f>
        <v>-48480.650000000009</v>
      </c>
      <c r="N81" s="458">
        <f t="shared" si="4"/>
        <v>2552.4835525821691</v>
      </c>
      <c r="O81" s="510">
        <f t="shared" si="5"/>
        <v>99513.783552582187</v>
      </c>
      <c r="P81" s="474"/>
      <c r="Q81" s="514">
        <v>-8970.41</v>
      </c>
    </row>
    <row r="82" spans="1:17" ht="12.75">
      <c r="A82" s="474">
        <v>224</v>
      </c>
      <c r="B82" s="474" t="s">
        <v>82</v>
      </c>
      <c r="C82" s="459">
        <v>4632</v>
      </c>
      <c r="D82" s="459">
        <v>631</v>
      </c>
      <c r="E82" s="459">
        <v>766</v>
      </c>
      <c r="G82" s="493">
        <f>Taulukko3[[#This Row],[Väestö, 18-64-vuotiaat (2023)]]*Taulukko4[Perushinnat, €]</f>
        <v>444718.32</v>
      </c>
      <c r="H82" s="461">
        <f>Taulukko3[[#This Row],[Työttömät ja palveluissa olevat (2023)]]*Taulukko4[[ ]]</f>
        <v>532929.98</v>
      </c>
      <c r="I82" s="461">
        <f>Taulukko3[[#This Row],[Vieraskieliset (2023)]]*Taulukko4[[  ]]</f>
        <v>45385.5</v>
      </c>
      <c r="J82" s="494">
        <f>SUM('TE25 Palveluiden rahoitus'!$G82:$I82)</f>
        <v>1023033.8</v>
      </c>
      <c r="K82" s="499"/>
      <c r="L82" s="505">
        <v>599918.53158047714</v>
      </c>
      <c r="M82" s="458">
        <f>'TE25 Palveluiden rahoitus'!$J82*-0.5</f>
        <v>-511516.9</v>
      </c>
      <c r="N82" s="458">
        <f t="shared" si="4"/>
        <v>88401.631580477115</v>
      </c>
      <c r="O82" s="510">
        <f t="shared" si="5"/>
        <v>1111435.4315804774</v>
      </c>
      <c r="P82" s="474"/>
      <c r="Q82" s="514">
        <v>-72768.72</v>
      </c>
    </row>
    <row r="83" spans="1:17" ht="12.75">
      <c r="A83" s="474">
        <v>226</v>
      </c>
      <c r="B83" s="474" t="s">
        <v>83</v>
      </c>
      <c r="C83" s="459">
        <v>1718</v>
      </c>
      <c r="D83" s="459">
        <v>237</v>
      </c>
      <c r="E83" s="459">
        <v>84</v>
      </c>
      <c r="G83" s="493">
        <f>Taulukko3[[#This Row],[Väestö, 18-64-vuotiaat (2023)]]*Taulukko4[Perushinnat, €]</f>
        <v>164945.18000000002</v>
      </c>
      <c r="H83" s="461">
        <f>Taulukko3[[#This Row],[Työttömät ja palveluissa olevat (2023)]]*Taulukko4[[ ]]</f>
        <v>200165.46000000002</v>
      </c>
      <c r="I83" s="461">
        <f>Taulukko3[[#This Row],[Vieraskieliset (2023)]]*Taulukko4[[  ]]</f>
        <v>4977</v>
      </c>
      <c r="J83" s="494">
        <f>SUM('TE25 Palveluiden rahoitus'!$G83:$I83)</f>
        <v>370087.64</v>
      </c>
      <c r="K83" s="499"/>
      <c r="L83" s="505">
        <v>273630.46672296495</v>
      </c>
      <c r="M83" s="458">
        <f>'TE25 Palveluiden rahoitus'!$J83*-0.5</f>
        <v>-185043.82</v>
      </c>
      <c r="N83" s="458">
        <f t="shared" si="4"/>
        <v>88586.646722964942</v>
      </c>
      <c r="O83" s="510">
        <f t="shared" si="5"/>
        <v>458674.2867229649</v>
      </c>
      <c r="P83" s="474"/>
      <c r="Q83" s="514">
        <v>-26989.780000000002</v>
      </c>
    </row>
    <row r="84" spans="1:17" ht="12.75">
      <c r="A84" s="474">
        <v>230</v>
      </c>
      <c r="B84" s="474" t="s">
        <v>84</v>
      </c>
      <c r="C84" s="459">
        <v>1096</v>
      </c>
      <c r="D84" s="459">
        <v>134</v>
      </c>
      <c r="E84" s="459">
        <v>109</v>
      </c>
      <c r="G84" s="493">
        <f>Taulukko3[[#This Row],[Väestö, 18-64-vuotiaat (2023)]]*Taulukko4[Perushinnat, €]</f>
        <v>105226.96</v>
      </c>
      <c r="H84" s="461">
        <f>Taulukko3[[#This Row],[Työttömät ja palveluissa olevat (2023)]]*Taulukko4[[ ]]</f>
        <v>113173.72</v>
      </c>
      <c r="I84" s="461">
        <f>Taulukko3[[#This Row],[Vieraskieliset (2023)]]*Taulukko4[[  ]]</f>
        <v>6458.25</v>
      </c>
      <c r="J84" s="494">
        <f>SUM('TE25 Palveluiden rahoitus'!$G84:$I84)</f>
        <v>224858.93</v>
      </c>
      <c r="K84" s="499"/>
      <c r="L84" s="505">
        <v>114626.68464236372</v>
      </c>
      <c r="M84" s="458">
        <f>'TE25 Palveluiden rahoitus'!$J84*-0.5</f>
        <v>-112429.465</v>
      </c>
      <c r="N84" s="458">
        <f t="shared" si="4"/>
        <v>2197.2196423637215</v>
      </c>
      <c r="O84" s="510">
        <f t="shared" si="5"/>
        <v>227056.14964236374</v>
      </c>
      <c r="P84" s="474"/>
      <c r="Q84" s="514">
        <v>-17218.16</v>
      </c>
    </row>
    <row r="85" spans="1:17" ht="12.75">
      <c r="A85" s="474">
        <v>231</v>
      </c>
      <c r="B85" s="474" t="s">
        <v>85</v>
      </c>
      <c r="C85" s="459">
        <v>520</v>
      </c>
      <c r="D85" s="459">
        <v>62</v>
      </c>
      <c r="E85" s="459">
        <v>166</v>
      </c>
      <c r="G85" s="493">
        <f>Taulukko3[[#This Row],[Väestö, 18-64-vuotiaat (2023)]]*Taulukko4[Perushinnat, €]</f>
        <v>49925.200000000004</v>
      </c>
      <c r="H85" s="461">
        <f>Taulukko3[[#This Row],[Työttömät ja palveluissa olevat (2023)]]*Taulukko4[[ ]]</f>
        <v>52363.96</v>
      </c>
      <c r="I85" s="461">
        <f>Taulukko3[[#This Row],[Vieraskieliset (2023)]]*Taulukko4[[  ]]</f>
        <v>9835.5</v>
      </c>
      <c r="J85" s="494">
        <f>SUM('TE25 Palveluiden rahoitus'!$G85:$I85)</f>
        <v>112124.66</v>
      </c>
      <c r="K85" s="499"/>
      <c r="L85" s="505">
        <v>66000.218823760006</v>
      </c>
      <c r="M85" s="458">
        <f>'TE25 Palveluiden rahoitus'!$J85*-0.5</f>
        <v>-56062.33</v>
      </c>
      <c r="N85" s="458">
        <f t="shared" si="4"/>
        <v>9937.888823760004</v>
      </c>
      <c r="O85" s="510">
        <f t="shared" si="5"/>
        <v>122062.54882376002</v>
      </c>
      <c r="P85" s="474"/>
      <c r="Q85" s="514">
        <v>-8169.2000000000007</v>
      </c>
    </row>
    <row r="86" spans="1:17" ht="12.75">
      <c r="A86" s="474">
        <v>232</v>
      </c>
      <c r="B86" s="474" t="s">
        <v>86</v>
      </c>
      <c r="C86" s="459">
        <v>6580</v>
      </c>
      <c r="D86" s="459">
        <v>694</v>
      </c>
      <c r="E86" s="459">
        <v>443</v>
      </c>
      <c r="G86" s="493">
        <f>Taulukko3[[#This Row],[Väestö, 18-64-vuotiaat (2023)]]*Taulukko4[Perushinnat, €]</f>
        <v>631745.80000000005</v>
      </c>
      <c r="H86" s="461">
        <f>Taulukko3[[#This Row],[Työttömät ja palveluissa olevat (2023)]]*Taulukko4[[ ]]</f>
        <v>586138.52</v>
      </c>
      <c r="I86" s="461">
        <f>Taulukko3[[#This Row],[Vieraskieliset (2023)]]*Taulukko4[[  ]]</f>
        <v>26247.75</v>
      </c>
      <c r="J86" s="494">
        <f>SUM('TE25 Palveluiden rahoitus'!$G86:$I86)</f>
        <v>1244132.07</v>
      </c>
      <c r="K86" s="499"/>
      <c r="L86" s="505">
        <v>779955.47306014725</v>
      </c>
      <c r="M86" s="458">
        <f>'TE25 Palveluiden rahoitus'!$J86*-0.5</f>
        <v>-622066.03500000003</v>
      </c>
      <c r="N86" s="458">
        <f t="shared" si="4"/>
        <v>157889.43806014722</v>
      </c>
      <c r="O86" s="510">
        <f t="shared" si="5"/>
        <v>1402021.5080601471</v>
      </c>
      <c r="P86" s="474"/>
      <c r="Q86" s="514">
        <v>-103371.8</v>
      </c>
    </row>
    <row r="87" spans="1:17" ht="12.75">
      <c r="A87" s="474">
        <v>233</v>
      </c>
      <c r="B87" s="474" t="s">
        <v>87</v>
      </c>
      <c r="C87" s="459">
        <v>7756</v>
      </c>
      <c r="D87" s="459">
        <v>584</v>
      </c>
      <c r="E87" s="459">
        <v>812</v>
      </c>
      <c r="G87" s="493">
        <f>Taulukko3[[#This Row],[Väestö, 18-64-vuotiaat (2023)]]*Taulukko4[Perushinnat, €]</f>
        <v>744653.56</v>
      </c>
      <c r="H87" s="461">
        <f>Taulukko3[[#This Row],[Työttömät ja palveluissa olevat (2023)]]*Taulukko4[[ ]]</f>
        <v>493234.72000000003</v>
      </c>
      <c r="I87" s="461">
        <f>Taulukko3[[#This Row],[Vieraskieliset (2023)]]*Taulukko4[[  ]]</f>
        <v>48111</v>
      </c>
      <c r="J87" s="494">
        <f>SUM('TE25 Palveluiden rahoitus'!$G87:$I87)</f>
        <v>1285999.28</v>
      </c>
      <c r="K87" s="499"/>
      <c r="L87" s="505">
        <v>627432.1798392405</v>
      </c>
      <c r="M87" s="458">
        <f>'TE25 Palveluiden rahoitus'!$J87*-0.5</f>
        <v>-642999.64</v>
      </c>
      <c r="N87" s="458">
        <f t="shared" si="4"/>
        <v>-15567.46016075951</v>
      </c>
      <c r="O87" s="510">
        <f t="shared" si="5"/>
        <v>1270431.8198392405</v>
      </c>
      <c r="P87" s="474"/>
      <c r="Q87" s="514">
        <v>-121846.76000000001</v>
      </c>
    </row>
    <row r="88" spans="1:17" ht="12.75">
      <c r="A88" s="474">
        <v>235</v>
      </c>
      <c r="B88" s="474" t="s">
        <v>88</v>
      </c>
      <c r="C88" s="459">
        <v>5608</v>
      </c>
      <c r="D88" s="459">
        <v>365</v>
      </c>
      <c r="E88" s="459">
        <v>1113</v>
      </c>
      <c r="G88" s="493">
        <f>Taulukko3[[#This Row],[Väestö, 18-64-vuotiaat (2023)]]*Taulukko4[Perushinnat, €]</f>
        <v>538424.08000000007</v>
      </c>
      <c r="H88" s="461">
        <f>Taulukko3[[#This Row],[Työttömät ja palveluissa olevat (2023)]]*Taulukko4[[ ]]</f>
        <v>308271.7</v>
      </c>
      <c r="I88" s="461">
        <f>Taulukko3[[#This Row],[Vieraskieliset (2023)]]*Taulukko4[[  ]]</f>
        <v>65945.25</v>
      </c>
      <c r="J88" s="494">
        <f>SUM('TE25 Palveluiden rahoitus'!$G88:$I88)</f>
        <v>912641.03</v>
      </c>
      <c r="K88" s="499"/>
      <c r="L88" s="505">
        <v>340953.99570771912</v>
      </c>
      <c r="M88" s="458">
        <f>'TE25 Palveluiden rahoitus'!$J88*-0.5</f>
        <v>-456320.51500000001</v>
      </c>
      <c r="N88" s="458">
        <f t="shared" si="4"/>
        <v>-115366.51929228089</v>
      </c>
      <c r="O88" s="510">
        <f t="shared" si="5"/>
        <v>797274.51070771914</v>
      </c>
      <c r="P88" s="474"/>
      <c r="Q88" s="514">
        <v>-88101.680000000008</v>
      </c>
    </row>
    <row r="89" spans="1:17" ht="12.75">
      <c r="A89" s="474">
        <v>236</v>
      </c>
      <c r="B89" s="474" t="s">
        <v>89</v>
      </c>
      <c r="C89" s="459">
        <v>2175</v>
      </c>
      <c r="D89" s="459">
        <v>199</v>
      </c>
      <c r="E89" s="459">
        <v>122</v>
      </c>
      <c r="G89" s="493">
        <f>Taulukko3[[#This Row],[Väestö, 18-64-vuotiaat (2023)]]*Taulukko4[Perushinnat, €]</f>
        <v>208821.75</v>
      </c>
      <c r="H89" s="461">
        <f>Taulukko3[[#This Row],[Työttömät ja palveluissa olevat (2023)]]*Taulukko4[[ ]]</f>
        <v>168071.42</v>
      </c>
      <c r="I89" s="461">
        <f>Taulukko3[[#This Row],[Vieraskieliset (2023)]]*Taulukko4[[  ]]</f>
        <v>7228.5</v>
      </c>
      <c r="J89" s="494">
        <f>SUM('TE25 Palveluiden rahoitus'!$G89:$I89)</f>
        <v>384121.67000000004</v>
      </c>
      <c r="K89" s="499"/>
      <c r="L89" s="505">
        <v>161578.37895419463</v>
      </c>
      <c r="M89" s="458">
        <f>'TE25 Palveluiden rahoitus'!$J89*-0.5</f>
        <v>-192060.83500000002</v>
      </c>
      <c r="N89" s="458">
        <f t="shared" si="4"/>
        <v>-30482.456045805389</v>
      </c>
      <c r="O89" s="510">
        <f t="shared" si="5"/>
        <v>353639.21395419462</v>
      </c>
      <c r="P89" s="474"/>
      <c r="Q89" s="514">
        <v>-34169.25</v>
      </c>
    </row>
    <row r="90" spans="1:17" ht="12.75">
      <c r="A90" s="474">
        <v>239</v>
      </c>
      <c r="B90" s="474" t="s">
        <v>90</v>
      </c>
      <c r="C90" s="459">
        <v>916</v>
      </c>
      <c r="D90" s="459">
        <v>92</v>
      </c>
      <c r="E90" s="459">
        <v>73</v>
      </c>
      <c r="G90" s="493">
        <f>Taulukko3[[#This Row],[Väestö, 18-64-vuotiaat (2023)]]*Taulukko4[Perushinnat, €]</f>
        <v>87945.16</v>
      </c>
      <c r="H90" s="461">
        <f>Taulukko3[[#This Row],[Työttömät ja palveluissa olevat (2023)]]*Taulukko4[[ ]]</f>
        <v>77701.36</v>
      </c>
      <c r="I90" s="461">
        <f>Taulukko3[[#This Row],[Vieraskieliset (2023)]]*Taulukko4[[  ]]</f>
        <v>4325.25</v>
      </c>
      <c r="J90" s="494">
        <f>SUM('TE25 Palveluiden rahoitus'!$G90:$I90)</f>
        <v>169971.77000000002</v>
      </c>
      <c r="K90" s="499"/>
      <c r="L90" s="505">
        <v>89725.007024213744</v>
      </c>
      <c r="M90" s="458">
        <f>'TE25 Palveluiden rahoitus'!$J90*-0.5</f>
        <v>-84985.885000000009</v>
      </c>
      <c r="N90" s="458">
        <f t="shared" si="4"/>
        <v>4739.1220242137351</v>
      </c>
      <c r="O90" s="510">
        <f t="shared" si="5"/>
        <v>174710.89202421374</v>
      </c>
      <c r="P90" s="474"/>
      <c r="Q90" s="514">
        <v>-14390.36</v>
      </c>
    </row>
    <row r="91" spans="1:17" ht="12.75">
      <c r="A91" s="474">
        <v>240</v>
      </c>
      <c r="B91" s="474" t="s">
        <v>91</v>
      </c>
      <c r="C91" s="459">
        <v>10154</v>
      </c>
      <c r="D91" s="459">
        <v>1787</v>
      </c>
      <c r="E91" s="459">
        <v>1165</v>
      </c>
      <c r="G91" s="493">
        <f>Taulukko3[[#This Row],[Väestö, 18-64-vuotiaat (2023)]]*Taulukko4[Perushinnat, €]</f>
        <v>974885.54</v>
      </c>
      <c r="H91" s="461">
        <f>Taulukko3[[#This Row],[Työttömät ja palveluissa olevat (2023)]]*Taulukko4[[ ]]</f>
        <v>1509264.46</v>
      </c>
      <c r="I91" s="461">
        <f>Taulukko3[[#This Row],[Vieraskieliset (2023)]]*Taulukko4[[  ]]</f>
        <v>69026.25</v>
      </c>
      <c r="J91" s="494">
        <f>SUM('TE25 Palveluiden rahoitus'!$G91:$I91)</f>
        <v>2553176.25</v>
      </c>
      <c r="K91" s="499"/>
      <c r="L91" s="505">
        <v>2030981.7861152873</v>
      </c>
      <c r="M91" s="458">
        <f>'TE25 Palveluiden rahoitus'!$J91*-0.5</f>
        <v>-1276588.125</v>
      </c>
      <c r="N91" s="458">
        <f t="shared" si="4"/>
        <v>754393.66111528734</v>
      </c>
      <c r="O91" s="510">
        <f t="shared" si="5"/>
        <v>3307569.9111152869</v>
      </c>
      <c r="P91" s="474"/>
      <c r="Q91" s="514">
        <v>-159519.34</v>
      </c>
    </row>
    <row r="92" spans="1:17" ht="12.75">
      <c r="A92" s="474">
        <v>241</v>
      </c>
      <c r="B92" s="474" t="s">
        <v>92</v>
      </c>
      <c r="C92" s="459">
        <v>4056</v>
      </c>
      <c r="D92" s="459">
        <v>411</v>
      </c>
      <c r="E92" s="459">
        <v>91</v>
      </c>
      <c r="G92" s="493">
        <f>Taulukko3[[#This Row],[Väestö, 18-64-vuotiaat (2023)]]*Taulukko4[Perushinnat, €]</f>
        <v>389416.56</v>
      </c>
      <c r="H92" s="461">
        <f>Taulukko3[[#This Row],[Työttömät ja palveluissa olevat (2023)]]*Taulukko4[[ ]]</f>
        <v>347122.38</v>
      </c>
      <c r="I92" s="461">
        <f>Taulukko3[[#This Row],[Vieraskieliset (2023)]]*Taulukko4[[  ]]</f>
        <v>5391.75</v>
      </c>
      <c r="J92" s="494">
        <f>SUM('TE25 Palveluiden rahoitus'!$G92:$I92)</f>
        <v>741930.69</v>
      </c>
      <c r="K92" s="499"/>
      <c r="L92" s="505">
        <v>543125.01731640659</v>
      </c>
      <c r="M92" s="458">
        <f>'TE25 Palveluiden rahoitus'!$J92*-0.5</f>
        <v>-370965.34499999997</v>
      </c>
      <c r="N92" s="458">
        <f t="shared" si="4"/>
        <v>172159.67231640662</v>
      </c>
      <c r="O92" s="510">
        <f t="shared" si="5"/>
        <v>914090.36231640656</v>
      </c>
      <c r="P92" s="474"/>
      <c r="Q92" s="514">
        <v>-63719.76</v>
      </c>
    </row>
    <row r="93" spans="1:17" ht="12.75">
      <c r="A93" s="474">
        <v>244</v>
      </c>
      <c r="B93" s="474" t="s">
        <v>93</v>
      </c>
      <c r="C93" s="459">
        <v>10860</v>
      </c>
      <c r="D93" s="459">
        <v>936</v>
      </c>
      <c r="E93" s="459">
        <v>271</v>
      </c>
      <c r="G93" s="493">
        <f>Taulukko3[[#This Row],[Väestö, 18-64-vuotiaat (2023)]]*Taulukko4[Perushinnat, €]</f>
        <v>1042668.6000000001</v>
      </c>
      <c r="H93" s="461">
        <f>Taulukko3[[#This Row],[Työttömät ja palveluissa olevat (2023)]]*Taulukko4[[ ]]</f>
        <v>790526.88</v>
      </c>
      <c r="I93" s="461">
        <f>Taulukko3[[#This Row],[Vieraskieliset (2023)]]*Taulukko4[[  ]]</f>
        <v>16056.75</v>
      </c>
      <c r="J93" s="494">
        <f>SUM('TE25 Palveluiden rahoitus'!$G93:$I93)</f>
        <v>1849252.23</v>
      </c>
      <c r="K93" s="499"/>
      <c r="L93" s="505">
        <v>946753.05472214054</v>
      </c>
      <c r="M93" s="458">
        <f>'TE25 Palveluiden rahoitus'!$J93*-0.5</f>
        <v>-924626.11499999999</v>
      </c>
      <c r="N93" s="458">
        <f t="shared" si="4"/>
        <v>22126.939722140552</v>
      </c>
      <c r="O93" s="510">
        <f t="shared" si="5"/>
        <v>1871379.1697221405</v>
      </c>
      <c r="P93" s="474"/>
      <c r="Q93" s="514">
        <v>-170610.6</v>
      </c>
    </row>
    <row r="94" spans="1:17" ht="12.75">
      <c r="A94" s="474">
        <v>245</v>
      </c>
      <c r="B94" s="474" t="s">
        <v>94</v>
      </c>
      <c r="C94" s="459">
        <v>22972</v>
      </c>
      <c r="D94" s="459">
        <v>2753</v>
      </c>
      <c r="E94" s="459">
        <v>6191</v>
      </c>
      <c r="G94" s="493">
        <f>Taulukko3[[#This Row],[Väestö, 18-64-vuotiaat (2023)]]*Taulukko4[Perushinnat, €]</f>
        <v>2205541.7200000002</v>
      </c>
      <c r="H94" s="461">
        <f>Taulukko3[[#This Row],[Työttömät ja palveluissa olevat (2023)]]*Taulukko4[[ ]]</f>
        <v>2325128.7400000002</v>
      </c>
      <c r="I94" s="461">
        <f>Taulukko3[[#This Row],[Vieraskieliset (2023)]]*Taulukko4[[  ]]</f>
        <v>366816.75</v>
      </c>
      <c r="J94" s="494">
        <f>SUM('TE25 Palveluiden rahoitus'!$G94:$I94)</f>
        <v>4897487.2100000009</v>
      </c>
      <c r="K94" s="499"/>
      <c r="L94" s="505">
        <v>2029999.9420196631</v>
      </c>
      <c r="M94" s="458">
        <f>'TE25 Palveluiden rahoitus'!$J94*-0.5</f>
        <v>-2448743.6050000004</v>
      </c>
      <c r="N94" s="458">
        <f t="shared" si="4"/>
        <v>-418743.66298033739</v>
      </c>
      <c r="O94" s="510">
        <f t="shared" si="5"/>
        <v>4478743.5470196633</v>
      </c>
      <c r="P94" s="474"/>
      <c r="Q94" s="514">
        <v>-360890.12</v>
      </c>
    </row>
    <row r="95" spans="1:17" ht="12.75">
      <c r="A95" s="474">
        <v>249</v>
      </c>
      <c r="B95" s="474" t="s">
        <v>95</v>
      </c>
      <c r="C95" s="459">
        <v>4412</v>
      </c>
      <c r="D95" s="459">
        <v>664</v>
      </c>
      <c r="E95" s="459">
        <v>351</v>
      </c>
      <c r="G95" s="493">
        <f>Taulukko3[[#This Row],[Väestö, 18-64-vuotiaat (2023)]]*Taulukko4[Perushinnat, €]</f>
        <v>423596.12</v>
      </c>
      <c r="H95" s="461">
        <f>Taulukko3[[#This Row],[Työttömät ja palveluissa olevat (2023)]]*Taulukko4[[ ]]</f>
        <v>560801.12</v>
      </c>
      <c r="I95" s="461">
        <f>Taulukko3[[#This Row],[Vieraskieliset (2023)]]*Taulukko4[[  ]]</f>
        <v>20796.75</v>
      </c>
      <c r="J95" s="494">
        <f>SUM('TE25 Palveluiden rahoitus'!$G95:$I95)</f>
        <v>1005193.99</v>
      </c>
      <c r="K95" s="499"/>
      <c r="L95" s="505">
        <v>691964.01651515998</v>
      </c>
      <c r="M95" s="458">
        <f>'TE25 Palveluiden rahoitus'!$J95*-0.5</f>
        <v>-502596.995</v>
      </c>
      <c r="N95" s="458">
        <f t="shared" si="4"/>
        <v>189367.02151515998</v>
      </c>
      <c r="O95" s="510">
        <f t="shared" si="5"/>
        <v>1194561.0115151601</v>
      </c>
      <c r="P95" s="474"/>
      <c r="Q95" s="514">
        <v>-69312.52</v>
      </c>
    </row>
    <row r="96" spans="1:17" ht="12.75">
      <c r="A96" s="474">
        <v>250</v>
      </c>
      <c r="B96" s="474" t="s">
        <v>96</v>
      </c>
      <c r="C96" s="459">
        <v>844</v>
      </c>
      <c r="D96" s="459">
        <v>86</v>
      </c>
      <c r="E96" s="459">
        <v>29</v>
      </c>
      <c r="G96" s="493">
        <f>Taulukko3[[#This Row],[Väestö, 18-64-vuotiaat (2023)]]*Taulukko4[Perushinnat, €]</f>
        <v>81032.44</v>
      </c>
      <c r="H96" s="461">
        <f>Taulukko3[[#This Row],[Työttömät ja palveluissa olevat (2023)]]*Taulukko4[[ ]]</f>
        <v>72633.88</v>
      </c>
      <c r="I96" s="461">
        <f>Taulukko3[[#This Row],[Vieraskieliset (2023)]]*Taulukko4[[  ]]</f>
        <v>1718.25</v>
      </c>
      <c r="J96" s="494">
        <f>SUM('TE25 Palveluiden rahoitus'!$G96:$I96)</f>
        <v>155384.57</v>
      </c>
      <c r="K96" s="499"/>
      <c r="L96" s="505">
        <v>58754.613360892261</v>
      </c>
      <c r="M96" s="458">
        <f>'TE25 Palveluiden rahoitus'!$J96*-0.5</f>
        <v>-77692.285000000003</v>
      </c>
      <c r="N96" s="458">
        <f t="shared" si="4"/>
        <v>-18937.671639107743</v>
      </c>
      <c r="O96" s="510">
        <f t="shared" si="5"/>
        <v>136446.89836089226</v>
      </c>
      <c r="P96" s="474"/>
      <c r="Q96" s="514">
        <v>-13259.240000000002</v>
      </c>
    </row>
    <row r="97" spans="1:17" ht="12.75">
      <c r="A97" s="474">
        <v>256</v>
      </c>
      <c r="B97" s="474" t="s">
        <v>97</v>
      </c>
      <c r="C97" s="459">
        <v>665</v>
      </c>
      <c r="D97" s="459">
        <v>97</v>
      </c>
      <c r="E97" s="459">
        <v>15</v>
      </c>
      <c r="G97" s="493">
        <f>Taulukko3[[#This Row],[Väestö, 18-64-vuotiaat (2023)]]*Taulukko4[Perushinnat, €]</f>
        <v>63846.65</v>
      </c>
      <c r="H97" s="461">
        <f>Taulukko3[[#This Row],[Työttömät ja palveluissa olevat (2023)]]*Taulukko4[[ ]]</f>
        <v>81924.260000000009</v>
      </c>
      <c r="I97" s="461">
        <f>Taulukko3[[#This Row],[Vieraskieliset (2023)]]*Taulukko4[[  ]]</f>
        <v>888.75</v>
      </c>
      <c r="J97" s="494">
        <f>SUM('TE25 Palveluiden rahoitus'!$G97:$I97)</f>
        <v>146659.66</v>
      </c>
      <c r="K97" s="499"/>
      <c r="L97" s="505">
        <v>178649.65412770404</v>
      </c>
      <c r="M97" s="458">
        <f>'TE25 Palveluiden rahoitus'!$J97*-0.5</f>
        <v>-73329.83</v>
      </c>
      <c r="N97" s="458">
        <f t="shared" si="4"/>
        <v>105319.82412770404</v>
      </c>
      <c r="O97" s="510">
        <f t="shared" si="5"/>
        <v>251979.484127704</v>
      </c>
      <c r="P97" s="474"/>
      <c r="Q97" s="514">
        <v>-10447.150000000001</v>
      </c>
    </row>
    <row r="98" spans="1:17" ht="12.75">
      <c r="A98" s="474">
        <v>257</v>
      </c>
      <c r="B98" s="474" t="s">
        <v>98</v>
      </c>
      <c r="C98" s="459">
        <v>24763</v>
      </c>
      <c r="D98" s="459">
        <v>2127</v>
      </c>
      <c r="E98" s="459">
        <v>4911</v>
      </c>
      <c r="G98" s="493">
        <f>Taulukko3[[#This Row],[Väestö, 18-64-vuotiaat (2023)]]*Taulukko4[Perushinnat, €]</f>
        <v>2377495.6300000004</v>
      </c>
      <c r="H98" s="461">
        <f>Taulukko3[[#This Row],[Työttömät ja palveluissa olevat (2023)]]*Taulukko4[[ ]]</f>
        <v>1796421.6600000001</v>
      </c>
      <c r="I98" s="461">
        <f>Taulukko3[[#This Row],[Vieraskieliset (2023)]]*Taulukko4[[  ]]</f>
        <v>290976.75</v>
      </c>
      <c r="J98" s="494">
        <f>SUM('TE25 Palveluiden rahoitus'!$G98:$I98)</f>
        <v>4464894.040000001</v>
      </c>
      <c r="K98" s="499"/>
      <c r="L98" s="505">
        <v>1906669.4534495233</v>
      </c>
      <c r="M98" s="458">
        <f>'TE25 Palveluiden rahoitus'!$J98*-0.5</f>
        <v>-2232447.0200000005</v>
      </c>
      <c r="N98" s="458">
        <f t="shared" si="4"/>
        <v>-325777.56655047718</v>
      </c>
      <c r="O98" s="510">
        <f t="shared" si="5"/>
        <v>4139116.4734495236</v>
      </c>
      <c r="P98" s="474"/>
      <c r="Q98" s="514">
        <v>-389026.73000000004</v>
      </c>
    </row>
    <row r="99" spans="1:17" ht="12.75">
      <c r="A99" s="474">
        <v>260</v>
      </c>
      <c r="B99" s="474" t="s">
        <v>99</v>
      </c>
      <c r="C99" s="459">
        <v>4509</v>
      </c>
      <c r="D99" s="459">
        <v>786</v>
      </c>
      <c r="E99" s="459">
        <v>757</v>
      </c>
      <c r="G99" s="493">
        <f>Taulukko3[[#This Row],[Väestö, 18-64-vuotiaat (2023)]]*Taulukko4[Perushinnat, €]</f>
        <v>432909.09</v>
      </c>
      <c r="H99" s="461">
        <f>Taulukko3[[#This Row],[Työttömät ja palveluissa olevat (2023)]]*Taulukko4[[ ]]</f>
        <v>663839.88</v>
      </c>
      <c r="I99" s="461">
        <f>Taulukko3[[#This Row],[Vieraskieliset (2023)]]*Taulukko4[[  ]]</f>
        <v>44852.25</v>
      </c>
      <c r="J99" s="494">
        <f>SUM('TE25 Palveluiden rahoitus'!$G99:$I99)</f>
        <v>1141601.22</v>
      </c>
      <c r="K99" s="499"/>
      <c r="L99" s="505">
        <v>893733.45633750921</v>
      </c>
      <c r="M99" s="458">
        <f>'TE25 Palveluiden rahoitus'!$J99*-0.5</f>
        <v>-570800.61</v>
      </c>
      <c r="N99" s="458">
        <f t="shared" si="4"/>
        <v>322932.84633750923</v>
      </c>
      <c r="O99" s="510">
        <f t="shared" si="5"/>
        <v>1464534.0663375091</v>
      </c>
      <c r="P99" s="474"/>
      <c r="Q99" s="514">
        <v>-70836.39</v>
      </c>
    </row>
    <row r="100" spans="1:17" ht="12.75">
      <c r="A100" s="474">
        <v>261</v>
      </c>
      <c r="B100" s="474" t="s">
        <v>100</v>
      </c>
      <c r="C100" s="459">
        <v>4137</v>
      </c>
      <c r="D100" s="459">
        <v>409</v>
      </c>
      <c r="E100" s="459">
        <v>324</v>
      </c>
      <c r="G100" s="493">
        <f>Taulukko3[[#This Row],[Väestö, 18-64-vuotiaat (2023)]]*Taulukko4[Perushinnat, €]</f>
        <v>397193.37</v>
      </c>
      <c r="H100" s="461">
        <f>Taulukko3[[#This Row],[Työttömät ja palveluissa olevat (2023)]]*Taulukko4[[ ]]</f>
        <v>345433.22000000003</v>
      </c>
      <c r="I100" s="461">
        <f>Taulukko3[[#This Row],[Vieraskieliset (2023)]]*Taulukko4[[  ]]</f>
        <v>19197</v>
      </c>
      <c r="J100" s="494">
        <f>SUM('TE25 Palveluiden rahoitus'!$G100:$I100)</f>
        <v>761823.59000000008</v>
      </c>
      <c r="K100" s="499"/>
      <c r="L100" s="505">
        <v>638328.8951897847</v>
      </c>
      <c r="M100" s="458">
        <f>'TE25 Palveluiden rahoitus'!$J100*-0.5</f>
        <v>-380911.79500000004</v>
      </c>
      <c r="N100" s="458">
        <f t="shared" si="4"/>
        <v>257417.10018978466</v>
      </c>
      <c r="O100" s="510">
        <f t="shared" si="5"/>
        <v>1019240.6901897847</v>
      </c>
      <c r="P100" s="474"/>
      <c r="Q100" s="514">
        <v>-64992.270000000004</v>
      </c>
    </row>
    <row r="101" spans="1:17" ht="12.75">
      <c r="A101" s="474">
        <v>263</v>
      </c>
      <c r="B101" s="474" t="s">
        <v>101</v>
      </c>
      <c r="C101" s="459">
        <v>3690</v>
      </c>
      <c r="D101" s="459">
        <v>452</v>
      </c>
      <c r="E101" s="459">
        <v>139</v>
      </c>
      <c r="G101" s="493">
        <f>Taulukko3[[#This Row],[Väestö, 18-64-vuotiaat (2023)]]*Taulukko4[Perushinnat, €]</f>
        <v>354276.9</v>
      </c>
      <c r="H101" s="461">
        <f>Taulukko3[[#This Row],[Työttömät ja palveluissa olevat (2023)]]*Taulukko4[[ ]]</f>
        <v>381750.16000000003</v>
      </c>
      <c r="I101" s="461">
        <f>Taulukko3[[#This Row],[Vieraskieliset (2023)]]*Taulukko4[[  ]]</f>
        <v>8235.75</v>
      </c>
      <c r="J101" s="494">
        <f>SUM('TE25 Palveluiden rahoitus'!$G101:$I101)</f>
        <v>744262.81</v>
      </c>
      <c r="K101" s="499"/>
      <c r="L101" s="505">
        <v>474541.80106771149</v>
      </c>
      <c r="M101" s="458">
        <f>'TE25 Palveluiden rahoitus'!$J101*-0.5</f>
        <v>-372131.40500000003</v>
      </c>
      <c r="N101" s="458">
        <f t="shared" si="4"/>
        <v>102410.39606771147</v>
      </c>
      <c r="O101" s="510">
        <f t="shared" si="5"/>
        <v>846673.20606771158</v>
      </c>
      <c r="P101" s="474"/>
      <c r="Q101" s="514">
        <v>-57969.9</v>
      </c>
    </row>
    <row r="102" spans="1:17" ht="12.75">
      <c r="A102" s="474">
        <v>265</v>
      </c>
      <c r="B102" s="474" t="s">
        <v>102</v>
      </c>
      <c r="C102" s="459">
        <v>461</v>
      </c>
      <c r="D102" s="459">
        <v>72</v>
      </c>
      <c r="E102" s="459">
        <v>20</v>
      </c>
      <c r="G102" s="493">
        <f>Taulukko3[[#This Row],[Väestö, 18-64-vuotiaat (2023)]]*Taulukko4[Perushinnat, €]</f>
        <v>44260.61</v>
      </c>
      <c r="H102" s="461">
        <f>Taulukko3[[#This Row],[Työttömät ja palveluissa olevat (2023)]]*Taulukko4[[ ]]</f>
        <v>60809.760000000002</v>
      </c>
      <c r="I102" s="461">
        <f>Taulukko3[[#This Row],[Vieraskieliset (2023)]]*Taulukko4[[  ]]</f>
        <v>1185</v>
      </c>
      <c r="J102" s="494">
        <f>SUM('TE25 Palveluiden rahoitus'!$G102:$I102)</f>
        <v>106255.37</v>
      </c>
      <c r="K102" s="499"/>
      <c r="L102" s="505">
        <v>43696.599711936768</v>
      </c>
      <c r="M102" s="458">
        <f>'TE25 Palveluiden rahoitus'!$J102*-0.5</f>
        <v>-53127.684999999998</v>
      </c>
      <c r="N102" s="458">
        <f t="shared" si="4"/>
        <v>-9431.0852880632301</v>
      </c>
      <c r="O102" s="510">
        <f t="shared" si="5"/>
        <v>96824.28471193678</v>
      </c>
      <c r="P102" s="474"/>
      <c r="Q102" s="514">
        <v>-7242.31</v>
      </c>
    </row>
    <row r="103" spans="1:17" ht="12.75">
      <c r="A103" s="474">
        <v>271</v>
      </c>
      <c r="B103" s="474" t="s">
        <v>103</v>
      </c>
      <c r="C103" s="459">
        <v>3496</v>
      </c>
      <c r="D103" s="459">
        <v>387</v>
      </c>
      <c r="E103" s="459">
        <v>223</v>
      </c>
      <c r="G103" s="493">
        <f>Taulukko3[[#This Row],[Väestö, 18-64-vuotiaat (2023)]]*Taulukko4[Perushinnat, €]</f>
        <v>335650.96</v>
      </c>
      <c r="H103" s="461">
        <f>Taulukko3[[#This Row],[Työttömät ja palveluissa olevat (2023)]]*Taulukko4[[ ]]</f>
        <v>326852.46000000002</v>
      </c>
      <c r="I103" s="461">
        <f>Taulukko3[[#This Row],[Vieraskieliset (2023)]]*Taulukko4[[  ]]</f>
        <v>13212.75</v>
      </c>
      <c r="J103" s="494">
        <f>SUM('TE25 Palveluiden rahoitus'!$G103:$I103)</f>
        <v>675716.17</v>
      </c>
      <c r="K103" s="499"/>
      <c r="L103" s="505">
        <v>300186.88299558958</v>
      </c>
      <c r="M103" s="458">
        <f>'TE25 Palveluiden rahoitus'!$J103*-0.5</f>
        <v>-337858.08500000002</v>
      </c>
      <c r="N103" s="458">
        <f t="shared" si="4"/>
        <v>-37671.202004410443</v>
      </c>
      <c r="O103" s="510">
        <f t="shared" si="5"/>
        <v>638044.9679955896</v>
      </c>
      <c r="P103" s="474"/>
      <c r="Q103" s="514">
        <v>-54922.16</v>
      </c>
    </row>
    <row r="104" spans="1:17" ht="12.75">
      <c r="A104" s="474">
        <v>272</v>
      </c>
      <c r="B104" s="474" t="s">
        <v>104</v>
      </c>
      <c r="C104" s="459">
        <v>26560</v>
      </c>
      <c r="D104" s="459">
        <v>2793</v>
      </c>
      <c r="E104" s="459">
        <v>2400</v>
      </c>
      <c r="G104" s="493">
        <f>Taulukko3[[#This Row],[Väestö, 18-64-vuotiaat (2023)]]*Taulukko4[Perushinnat, €]</f>
        <v>2550025.6</v>
      </c>
      <c r="H104" s="461">
        <f>Taulukko3[[#This Row],[Työttömät ja palveluissa olevat (2023)]]*Taulukko4[[ ]]</f>
        <v>2358911.94</v>
      </c>
      <c r="I104" s="461">
        <f>Taulukko3[[#This Row],[Vieraskieliset (2023)]]*Taulukko4[[  ]]</f>
        <v>142200</v>
      </c>
      <c r="J104" s="494">
        <f>SUM('TE25 Palveluiden rahoitus'!$G104:$I104)</f>
        <v>5051137.54</v>
      </c>
      <c r="K104" s="499"/>
      <c r="L104" s="505">
        <v>2862039.8671072712</v>
      </c>
      <c r="M104" s="458">
        <f>'TE25 Palveluiden rahoitus'!$J104*-0.5</f>
        <v>-2525568.77</v>
      </c>
      <c r="N104" s="458">
        <f t="shared" si="4"/>
        <v>336471.0971072712</v>
      </c>
      <c r="O104" s="510">
        <f t="shared" si="5"/>
        <v>5387608.6371072717</v>
      </c>
      <c r="P104" s="474"/>
      <c r="Q104" s="514">
        <v>-417257.60000000003</v>
      </c>
    </row>
    <row r="105" spans="1:17" ht="12.75">
      <c r="A105" s="474">
        <v>273</v>
      </c>
      <c r="B105" s="474" t="s">
        <v>105</v>
      </c>
      <c r="C105" s="459">
        <v>2167</v>
      </c>
      <c r="D105" s="459">
        <v>260</v>
      </c>
      <c r="E105" s="459">
        <v>94</v>
      </c>
      <c r="G105" s="493">
        <f>Taulukko3[[#This Row],[Väestö, 18-64-vuotiaat (2023)]]*Taulukko4[Perushinnat, €]</f>
        <v>208053.67</v>
      </c>
      <c r="H105" s="461">
        <f>Taulukko3[[#This Row],[Työttömät ja palveluissa olevat (2023)]]*Taulukko4[[ ]]</f>
        <v>219590.80000000002</v>
      </c>
      <c r="I105" s="461">
        <f>Taulukko3[[#This Row],[Vieraskieliset (2023)]]*Taulukko4[[  ]]</f>
        <v>5569.5</v>
      </c>
      <c r="J105" s="494">
        <f>SUM('TE25 Palveluiden rahoitus'!$G105:$I105)</f>
        <v>433213.97000000003</v>
      </c>
      <c r="K105" s="499"/>
      <c r="L105" s="505">
        <v>332197.06201329996</v>
      </c>
      <c r="M105" s="458">
        <f>'TE25 Palveluiden rahoitus'!$J105*-0.5</f>
        <v>-216606.98500000002</v>
      </c>
      <c r="N105" s="458">
        <f t="shared" si="4"/>
        <v>115590.07701329995</v>
      </c>
      <c r="O105" s="510">
        <f t="shared" si="5"/>
        <v>548804.04701330001</v>
      </c>
      <c r="P105" s="474"/>
      <c r="Q105" s="514">
        <v>-34043.57</v>
      </c>
    </row>
    <row r="106" spans="1:17" ht="12.75">
      <c r="A106" s="474">
        <v>275</v>
      </c>
      <c r="B106" s="474" t="s">
        <v>106</v>
      </c>
      <c r="C106" s="459">
        <v>1195</v>
      </c>
      <c r="D106" s="459">
        <v>160</v>
      </c>
      <c r="E106" s="459">
        <v>52</v>
      </c>
      <c r="G106" s="493">
        <f>Taulukko3[[#This Row],[Väestö, 18-64-vuotiaat (2023)]]*Taulukko4[Perushinnat, €]</f>
        <v>114731.95000000001</v>
      </c>
      <c r="H106" s="461">
        <f>Taulukko3[[#This Row],[Työttömät ja palveluissa olevat (2023)]]*Taulukko4[[ ]]</f>
        <v>135132.80000000002</v>
      </c>
      <c r="I106" s="461">
        <f>Taulukko3[[#This Row],[Vieraskieliset (2023)]]*Taulukko4[[  ]]</f>
        <v>3081</v>
      </c>
      <c r="J106" s="494">
        <f>SUM('TE25 Palveluiden rahoitus'!$G106:$I106)</f>
        <v>252945.75000000003</v>
      </c>
      <c r="K106" s="499"/>
      <c r="L106" s="505">
        <v>162835.26271774305</v>
      </c>
      <c r="M106" s="458">
        <f>'TE25 Palveluiden rahoitus'!$J106*-0.5</f>
        <v>-126472.87500000001</v>
      </c>
      <c r="N106" s="458">
        <f t="shared" si="4"/>
        <v>36362.38771774304</v>
      </c>
      <c r="O106" s="510">
        <f t="shared" si="5"/>
        <v>289308.13771774305</v>
      </c>
      <c r="P106" s="474"/>
      <c r="Q106" s="514">
        <v>-18773.45</v>
      </c>
    </row>
    <row r="107" spans="1:17" ht="12.75">
      <c r="A107" s="474">
        <v>276</v>
      </c>
      <c r="B107" s="474" t="s">
        <v>107</v>
      </c>
      <c r="C107" s="459">
        <v>8538</v>
      </c>
      <c r="D107" s="459">
        <v>911</v>
      </c>
      <c r="E107" s="459">
        <v>347</v>
      </c>
      <c r="G107" s="493">
        <f>Taulukko3[[#This Row],[Väestö, 18-64-vuotiaat (2023)]]*Taulukko4[Perushinnat, €]</f>
        <v>819733.38</v>
      </c>
      <c r="H107" s="461">
        <f>Taulukko3[[#This Row],[Työttömät ja palveluissa olevat (2023)]]*Taulukko4[[ ]]</f>
        <v>769412.38</v>
      </c>
      <c r="I107" s="461">
        <f>Taulukko3[[#This Row],[Vieraskieliset (2023)]]*Taulukko4[[  ]]</f>
        <v>20559.75</v>
      </c>
      <c r="J107" s="494">
        <f>SUM('TE25 Palveluiden rahoitus'!$G107:$I107)</f>
        <v>1609705.51</v>
      </c>
      <c r="K107" s="499"/>
      <c r="L107" s="505">
        <v>940701.55299310538</v>
      </c>
      <c r="M107" s="458">
        <f>'TE25 Palveluiden rahoitus'!$J107*-0.5</f>
        <v>-804852.755</v>
      </c>
      <c r="N107" s="458">
        <f t="shared" si="4"/>
        <v>135848.79799310537</v>
      </c>
      <c r="O107" s="510">
        <f t="shared" si="5"/>
        <v>1745554.3079931056</v>
      </c>
      <c r="P107" s="474"/>
      <c r="Q107" s="514">
        <v>-134131.98000000001</v>
      </c>
    </row>
    <row r="108" spans="1:17" ht="12.75">
      <c r="A108" s="474">
        <v>280</v>
      </c>
      <c r="B108" s="474" t="s">
        <v>108</v>
      </c>
      <c r="C108" s="459">
        <v>1051</v>
      </c>
      <c r="D108" s="459">
        <v>76</v>
      </c>
      <c r="E108" s="459">
        <v>255</v>
      </c>
      <c r="G108" s="493">
        <f>Taulukko3[[#This Row],[Väestö, 18-64-vuotiaat (2023)]]*Taulukko4[Perushinnat, €]</f>
        <v>100906.51000000001</v>
      </c>
      <c r="H108" s="461">
        <f>Taulukko3[[#This Row],[Työttömät ja palveluissa olevat (2023)]]*Taulukko4[[ ]]</f>
        <v>64188.08</v>
      </c>
      <c r="I108" s="461">
        <f>Taulukko3[[#This Row],[Vieraskieliset (2023)]]*Taulukko4[[  ]]</f>
        <v>15108.75</v>
      </c>
      <c r="J108" s="494">
        <f>SUM('TE25 Palveluiden rahoitus'!$G108:$I108)</f>
        <v>180203.34000000003</v>
      </c>
      <c r="K108" s="499"/>
      <c r="L108" s="505">
        <v>80216.059186488972</v>
      </c>
      <c r="M108" s="458">
        <f>'TE25 Palveluiden rahoitus'!$J108*-0.5</f>
        <v>-90101.670000000013</v>
      </c>
      <c r="N108" s="458">
        <f t="shared" si="4"/>
        <v>-9885.6108135110408</v>
      </c>
      <c r="O108" s="510">
        <f t="shared" si="5"/>
        <v>170317.72918648898</v>
      </c>
      <c r="P108" s="474"/>
      <c r="Q108" s="514">
        <v>-16511.21</v>
      </c>
    </row>
    <row r="109" spans="1:17" ht="12.75">
      <c r="A109" s="474">
        <v>284</v>
      </c>
      <c r="B109" s="474" t="s">
        <v>109</v>
      </c>
      <c r="C109" s="459">
        <v>1113</v>
      </c>
      <c r="D109" s="459">
        <v>98</v>
      </c>
      <c r="E109" s="459">
        <v>110</v>
      </c>
      <c r="G109" s="493">
        <f>Taulukko3[[#This Row],[Väestö, 18-64-vuotiaat (2023)]]*Taulukko4[Perushinnat, €]</f>
        <v>106859.13</v>
      </c>
      <c r="H109" s="461">
        <f>Taulukko3[[#This Row],[Työttömät ja palveluissa olevat (2023)]]*Taulukko4[[ ]]</f>
        <v>82768.840000000011</v>
      </c>
      <c r="I109" s="461">
        <f>Taulukko3[[#This Row],[Vieraskieliset (2023)]]*Taulukko4[[  ]]</f>
        <v>6517.5</v>
      </c>
      <c r="J109" s="494">
        <f>SUM('TE25 Palveluiden rahoitus'!$G109:$I109)</f>
        <v>196145.47000000003</v>
      </c>
      <c r="K109" s="499"/>
      <c r="L109" s="505">
        <v>72322.953436245516</v>
      </c>
      <c r="M109" s="458">
        <f>'TE25 Palveluiden rahoitus'!$J109*-0.5</f>
        <v>-98072.735000000015</v>
      </c>
      <c r="N109" s="458">
        <f t="shared" si="4"/>
        <v>-25749.781563754499</v>
      </c>
      <c r="O109" s="510">
        <f t="shared" si="5"/>
        <v>170395.68843624552</v>
      </c>
      <c r="P109" s="474"/>
      <c r="Q109" s="514">
        <v>-17485.23</v>
      </c>
    </row>
    <row r="110" spans="1:17" ht="12.75">
      <c r="A110" s="474">
        <v>285</v>
      </c>
      <c r="B110" s="474" t="s">
        <v>110</v>
      </c>
      <c r="C110" s="459">
        <v>28188</v>
      </c>
      <c r="D110" s="459">
        <v>4155</v>
      </c>
      <c r="E110" s="459">
        <v>5330</v>
      </c>
      <c r="G110" s="493">
        <f>Taulukko3[[#This Row],[Väestö, 18-64-vuotiaat (2023)]]*Taulukko4[Perushinnat, €]</f>
        <v>2706329.8800000004</v>
      </c>
      <c r="H110" s="461">
        <f>Taulukko3[[#This Row],[Työttömät ja palveluissa olevat (2023)]]*Taulukko4[[ ]]</f>
        <v>3509229.9000000004</v>
      </c>
      <c r="I110" s="461">
        <f>Taulukko3[[#This Row],[Vieraskieliset (2023)]]*Taulukko4[[  ]]</f>
        <v>315802.5</v>
      </c>
      <c r="J110" s="494">
        <f>SUM('TE25 Palveluiden rahoitus'!$G110:$I110)</f>
        <v>6531362.2800000012</v>
      </c>
      <c r="K110" s="499"/>
      <c r="L110" s="505">
        <v>4487114.0161678428</v>
      </c>
      <c r="M110" s="458">
        <f>'TE25 Palveluiden rahoitus'!$J110*-0.5</f>
        <v>-3265681.1400000006</v>
      </c>
      <c r="N110" s="458">
        <f t="shared" si="4"/>
        <v>1221432.8761678422</v>
      </c>
      <c r="O110" s="510">
        <f t="shared" si="5"/>
        <v>7752795.1561678424</v>
      </c>
      <c r="P110" s="474"/>
      <c r="Q110" s="514">
        <v>-442833.48000000004</v>
      </c>
    </row>
    <row r="111" spans="1:17" ht="12.75">
      <c r="A111" s="474">
        <v>286</v>
      </c>
      <c r="B111" s="474" t="s">
        <v>111</v>
      </c>
      <c r="C111" s="459">
        <v>42941</v>
      </c>
      <c r="D111" s="459">
        <v>5254</v>
      </c>
      <c r="E111" s="459">
        <v>4125</v>
      </c>
      <c r="G111" s="493">
        <f>Taulukko3[[#This Row],[Väestö, 18-64-vuotiaat (2023)]]*Taulukko4[Perushinnat, €]</f>
        <v>4122765.41</v>
      </c>
      <c r="H111" s="461">
        <f>Taulukko3[[#This Row],[Työttömät ja palveluissa olevat (2023)]]*Taulukko4[[ ]]</f>
        <v>4437423.32</v>
      </c>
      <c r="I111" s="461">
        <f>Taulukko3[[#This Row],[Vieraskieliset (2023)]]*Taulukko4[[  ]]</f>
        <v>244406.25</v>
      </c>
      <c r="J111" s="494">
        <f>SUM('TE25 Palveluiden rahoitus'!$G111:$I111)</f>
        <v>8804594.9800000004</v>
      </c>
      <c r="K111" s="499"/>
      <c r="L111" s="505">
        <v>5613023.1787345214</v>
      </c>
      <c r="M111" s="458">
        <f>'TE25 Palveluiden rahoitus'!$J111*-0.5</f>
        <v>-4402297.49</v>
      </c>
      <c r="N111" s="458">
        <f t="shared" si="4"/>
        <v>1210725.6887345212</v>
      </c>
      <c r="O111" s="510">
        <f t="shared" si="5"/>
        <v>10015320.668734523</v>
      </c>
      <c r="P111" s="474"/>
      <c r="Q111" s="514">
        <v>-674603.11</v>
      </c>
    </row>
    <row r="112" spans="1:17" ht="12.75">
      <c r="A112" s="474">
        <v>287</v>
      </c>
      <c r="B112" s="474" t="s">
        <v>112</v>
      </c>
      <c r="C112" s="459">
        <v>2949</v>
      </c>
      <c r="D112" s="459">
        <v>252</v>
      </c>
      <c r="E112" s="459">
        <v>407</v>
      </c>
      <c r="G112" s="493">
        <f>Taulukko3[[#This Row],[Väestö, 18-64-vuotiaat (2023)]]*Taulukko4[Perushinnat, €]</f>
        <v>283133.49</v>
      </c>
      <c r="H112" s="461">
        <f>Taulukko3[[#This Row],[Työttömät ja palveluissa olevat (2023)]]*Taulukko4[[ ]]</f>
        <v>212834.16</v>
      </c>
      <c r="I112" s="461">
        <f>Taulukko3[[#This Row],[Vieraskieliset (2023)]]*Taulukko4[[  ]]</f>
        <v>24114.75</v>
      </c>
      <c r="J112" s="494">
        <f>SUM('TE25 Palveluiden rahoitus'!$G112:$I112)</f>
        <v>520082.4</v>
      </c>
      <c r="K112" s="499"/>
      <c r="L112" s="505">
        <v>191349.14519110534</v>
      </c>
      <c r="M112" s="458">
        <f>'TE25 Palveluiden rahoitus'!$J112*-0.5</f>
        <v>-260041.2</v>
      </c>
      <c r="N112" s="458">
        <f t="shared" si="4"/>
        <v>-68692.054808894667</v>
      </c>
      <c r="O112" s="510">
        <f t="shared" si="5"/>
        <v>451390.34519110533</v>
      </c>
      <c r="P112" s="474"/>
      <c r="Q112" s="514">
        <v>-46328.79</v>
      </c>
    </row>
    <row r="113" spans="1:17" ht="12.75">
      <c r="A113" s="474">
        <v>288</v>
      </c>
      <c r="B113" s="474" t="s">
        <v>113</v>
      </c>
      <c r="C113" s="459">
        <v>3371</v>
      </c>
      <c r="D113" s="459">
        <v>203</v>
      </c>
      <c r="E113" s="459">
        <v>311</v>
      </c>
      <c r="G113" s="493">
        <f>Taulukko3[[#This Row],[Väestö, 18-64-vuotiaat (2023)]]*Taulukko4[Perushinnat, €]</f>
        <v>323649.71000000002</v>
      </c>
      <c r="H113" s="461">
        <f>Taulukko3[[#This Row],[Työttömät ja palveluissa olevat (2023)]]*Taulukko4[[ ]]</f>
        <v>171449.74000000002</v>
      </c>
      <c r="I113" s="461">
        <f>Taulukko3[[#This Row],[Vieraskieliset (2023)]]*Taulukko4[[  ]]</f>
        <v>18426.75</v>
      </c>
      <c r="J113" s="494">
        <f>SUM('TE25 Palveluiden rahoitus'!$G113:$I113)</f>
        <v>513526.20000000007</v>
      </c>
      <c r="K113" s="499"/>
      <c r="L113" s="505">
        <v>220277.07136148584</v>
      </c>
      <c r="M113" s="458">
        <f>'TE25 Palveluiden rahoitus'!$J113*-0.5</f>
        <v>-256763.10000000003</v>
      </c>
      <c r="N113" s="458">
        <f t="shared" si="4"/>
        <v>-36486.028638514195</v>
      </c>
      <c r="O113" s="510">
        <f t="shared" si="5"/>
        <v>477040.1713614859</v>
      </c>
      <c r="P113" s="474"/>
      <c r="Q113" s="514">
        <v>-52958.41</v>
      </c>
    </row>
    <row r="114" spans="1:17" ht="12.75">
      <c r="A114" s="474">
        <v>290</v>
      </c>
      <c r="B114" s="474" t="s">
        <v>114</v>
      </c>
      <c r="C114" s="459">
        <v>3592</v>
      </c>
      <c r="D114" s="459">
        <v>450</v>
      </c>
      <c r="E114" s="459">
        <v>214</v>
      </c>
      <c r="G114" s="493">
        <f>Taulukko3[[#This Row],[Väestö, 18-64-vuotiaat (2023)]]*Taulukko4[Perushinnat, €]</f>
        <v>344867.92000000004</v>
      </c>
      <c r="H114" s="461">
        <f>Taulukko3[[#This Row],[Työttömät ja palveluissa olevat (2023)]]*Taulukko4[[ ]]</f>
        <v>380061</v>
      </c>
      <c r="I114" s="461">
        <f>Taulukko3[[#This Row],[Vieraskieliset (2023)]]*Taulukko4[[  ]]</f>
        <v>12679.5</v>
      </c>
      <c r="J114" s="494">
        <f>SUM('TE25 Palveluiden rahoitus'!$G114:$I114)</f>
        <v>737608.42</v>
      </c>
      <c r="K114" s="499"/>
      <c r="L114" s="505">
        <v>924648.7778279325</v>
      </c>
      <c r="M114" s="458">
        <f>'TE25 Palveluiden rahoitus'!$J114*-0.5</f>
        <v>-368804.21</v>
      </c>
      <c r="N114" s="458">
        <f t="shared" si="4"/>
        <v>555844.56782793254</v>
      </c>
      <c r="O114" s="510">
        <f t="shared" si="5"/>
        <v>1293452.9878279325</v>
      </c>
      <c r="P114" s="474"/>
      <c r="Q114" s="514">
        <v>-56430.32</v>
      </c>
    </row>
    <row r="115" spans="1:17" ht="12.75">
      <c r="A115" s="474">
        <v>291</v>
      </c>
      <c r="B115" s="474" t="s">
        <v>115</v>
      </c>
      <c r="C115" s="459">
        <v>909</v>
      </c>
      <c r="D115" s="459">
        <v>104</v>
      </c>
      <c r="E115" s="459">
        <v>50</v>
      </c>
      <c r="G115" s="493">
        <f>Taulukko3[[#This Row],[Väestö, 18-64-vuotiaat (2023)]]*Taulukko4[Perushinnat, €]</f>
        <v>87273.090000000011</v>
      </c>
      <c r="H115" s="461">
        <f>Taulukko3[[#This Row],[Työttömät ja palveluissa olevat (2023)]]*Taulukko4[[ ]]</f>
        <v>87836.32</v>
      </c>
      <c r="I115" s="461">
        <f>Taulukko3[[#This Row],[Vieraskieliset (2023)]]*Taulukko4[[  ]]</f>
        <v>2962.5</v>
      </c>
      <c r="J115" s="494">
        <f>SUM('TE25 Palveluiden rahoitus'!$G115:$I115)</f>
        <v>178071.91000000003</v>
      </c>
      <c r="K115" s="499"/>
      <c r="L115" s="505">
        <v>108709.71015416563</v>
      </c>
      <c r="M115" s="458">
        <f>'TE25 Palveluiden rahoitus'!$J115*-0.5</f>
        <v>-89035.955000000016</v>
      </c>
      <c r="N115" s="458">
        <f t="shared" si="4"/>
        <v>19673.755154165614</v>
      </c>
      <c r="O115" s="510">
        <f t="shared" si="5"/>
        <v>197745.66515416565</v>
      </c>
      <c r="P115" s="474"/>
      <c r="Q115" s="514">
        <v>-14280.390000000001</v>
      </c>
    </row>
    <row r="116" spans="1:17" ht="12.75">
      <c r="A116" s="474">
        <v>297</v>
      </c>
      <c r="B116" s="474" t="s">
        <v>116</v>
      </c>
      <c r="C116" s="459">
        <v>75100</v>
      </c>
      <c r="D116" s="459">
        <v>7905</v>
      </c>
      <c r="E116" s="459">
        <v>7029</v>
      </c>
      <c r="G116" s="493">
        <f>Taulukko3[[#This Row],[Väestö, 18-64-vuotiaat (2023)]]*Taulukko4[Perushinnat, €]</f>
        <v>7210351</v>
      </c>
      <c r="H116" s="461">
        <f>Taulukko3[[#This Row],[Työttömät ja palveluissa olevat (2023)]]*Taulukko4[[ ]]</f>
        <v>6676404.9000000004</v>
      </c>
      <c r="I116" s="461">
        <f>Taulukko3[[#This Row],[Vieraskieliset (2023)]]*Taulukko4[[  ]]</f>
        <v>416468.25</v>
      </c>
      <c r="J116" s="494">
        <f>SUM('TE25 Palveluiden rahoitus'!$G116:$I116)</f>
        <v>14303224.15</v>
      </c>
      <c r="K116" s="499"/>
      <c r="L116" s="505">
        <v>6907556.6870549489</v>
      </c>
      <c r="M116" s="458">
        <f>'TE25 Palveluiden rahoitus'!$J116*-0.5</f>
        <v>-7151612.0750000002</v>
      </c>
      <c r="N116" s="458">
        <f t="shared" si="4"/>
        <v>-244055.3879450513</v>
      </c>
      <c r="O116" s="510">
        <f t="shared" si="5"/>
        <v>14059168.76205495</v>
      </c>
      <c r="P116" s="474"/>
      <c r="Q116" s="514">
        <v>-1179821</v>
      </c>
    </row>
    <row r="117" spans="1:17" ht="12.75">
      <c r="A117" s="474">
        <v>300</v>
      </c>
      <c r="B117" s="474" t="s">
        <v>117</v>
      </c>
      <c r="C117" s="459">
        <v>1654</v>
      </c>
      <c r="D117" s="459">
        <v>93</v>
      </c>
      <c r="E117" s="459">
        <v>75</v>
      </c>
      <c r="G117" s="493">
        <f>Taulukko3[[#This Row],[Väestö, 18-64-vuotiaat (2023)]]*Taulukko4[Perushinnat, €]</f>
        <v>158800.54</v>
      </c>
      <c r="H117" s="461">
        <f>Taulukko3[[#This Row],[Työttömät ja palveluissa olevat (2023)]]*Taulukko4[[ ]]</f>
        <v>78545.94</v>
      </c>
      <c r="I117" s="461">
        <f>Taulukko3[[#This Row],[Vieraskieliset (2023)]]*Taulukko4[[  ]]</f>
        <v>4443.75</v>
      </c>
      <c r="J117" s="494">
        <f>SUM('TE25 Palveluiden rahoitus'!$G117:$I117)</f>
        <v>241790.23</v>
      </c>
      <c r="K117" s="499"/>
      <c r="L117" s="505">
        <v>96142.8313916443</v>
      </c>
      <c r="M117" s="458">
        <f>'TE25 Palveluiden rahoitus'!$J117*-0.5</f>
        <v>-120895.11500000001</v>
      </c>
      <c r="N117" s="458">
        <f t="shared" si="4"/>
        <v>-24752.283608355705</v>
      </c>
      <c r="O117" s="510">
        <f t="shared" si="5"/>
        <v>217037.94639164431</v>
      </c>
      <c r="P117" s="474"/>
      <c r="Q117" s="514">
        <v>-25984.34</v>
      </c>
    </row>
    <row r="118" spans="1:17" ht="12.75">
      <c r="A118" s="474">
        <v>301</v>
      </c>
      <c r="B118" s="474" t="s">
        <v>118</v>
      </c>
      <c r="C118" s="459">
        <v>9970</v>
      </c>
      <c r="D118" s="459">
        <v>901</v>
      </c>
      <c r="E118" s="459">
        <v>580</v>
      </c>
      <c r="G118" s="493">
        <f>Taulukko3[[#This Row],[Väestö, 18-64-vuotiaat (2023)]]*Taulukko4[Perushinnat, €]</f>
        <v>957219.70000000007</v>
      </c>
      <c r="H118" s="461">
        <f>Taulukko3[[#This Row],[Työttömät ja palveluissa olevat (2023)]]*Taulukko4[[ ]]</f>
        <v>760966.58000000007</v>
      </c>
      <c r="I118" s="461">
        <f>Taulukko3[[#This Row],[Vieraskieliset (2023)]]*Taulukko4[[  ]]</f>
        <v>34365</v>
      </c>
      <c r="J118" s="494">
        <f>SUM('TE25 Palveluiden rahoitus'!$G118:$I118)</f>
        <v>1752551.2800000003</v>
      </c>
      <c r="K118" s="499"/>
      <c r="L118" s="505">
        <v>1114121.6577252275</v>
      </c>
      <c r="M118" s="458">
        <f>'TE25 Palveluiden rahoitus'!$J118*-0.5</f>
        <v>-876275.64000000013</v>
      </c>
      <c r="N118" s="458">
        <f t="shared" si="4"/>
        <v>237846.0177252274</v>
      </c>
      <c r="O118" s="510">
        <f t="shared" si="5"/>
        <v>1990397.2977252277</v>
      </c>
      <c r="P118" s="474"/>
      <c r="Q118" s="514">
        <v>-156628.70000000001</v>
      </c>
    </row>
    <row r="119" spans="1:17" ht="12.75">
      <c r="A119" s="474">
        <v>304</v>
      </c>
      <c r="B119" s="474" t="s">
        <v>119</v>
      </c>
      <c r="C119" s="459">
        <v>459</v>
      </c>
      <c r="D119" s="459">
        <v>44</v>
      </c>
      <c r="E119" s="459">
        <v>47</v>
      </c>
      <c r="G119" s="493">
        <f>Taulukko3[[#This Row],[Väestö, 18-64-vuotiaat (2023)]]*Taulukko4[Perushinnat, €]</f>
        <v>44068.590000000004</v>
      </c>
      <c r="H119" s="461">
        <f>Taulukko3[[#This Row],[Työttömät ja palveluissa olevat (2023)]]*Taulukko4[[ ]]</f>
        <v>37161.520000000004</v>
      </c>
      <c r="I119" s="461">
        <f>Taulukko3[[#This Row],[Vieraskieliset (2023)]]*Taulukko4[[  ]]</f>
        <v>2784.75</v>
      </c>
      <c r="J119" s="494">
        <f>SUM('TE25 Palveluiden rahoitus'!$G119:$I119)</f>
        <v>84014.860000000015</v>
      </c>
      <c r="K119" s="499"/>
      <c r="L119" s="505">
        <v>63230.845323759022</v>
      </c>
      <c r="M119" s="458">
        <f>'TE25 Palveluiden rahoitus'!$J119*-0.5</f>
        <v>-42007.430000000008</v>
      </c>
      <c r="N119" s="458">
        <f t="shared" si="4"/>
        <v>21223.415323759014</v>
      </c>
      <c r="O119" s="510">
        <f t="shared" si="5"/>
        <v>105238.27532375902</v>
      </c>
      <c r="P119" s="474"/>
      <c r="Q119" s="514">
        <v>-7210.89</v>
      </c>
    </row>
    <row r="120" spans="1:17" ht="12.75">
      <c r="A120" s="474">
        <v>305</v>
      </c>
      <c r="B120" s="474" t="s">
        <v>120</v>
      </c>
      <c r="C120" s="459">
        <v>7791</v>
      </c>
      <c r="D120" s="459">
        <v>973</v>
      </c>
      <c r="E120" s="459">
        <v>595</v>
      </c>
      <c r="G120" s="493">
        <f>Taulukko3[[#This Row],[Väestö, 18-64-vuotiaat (2023)]]*Taulukko4[Perushinnat, €]</f>
        <v>748013.91</v>
      </c>
      <c r="H120" s="461">
        <f>Taulukko3[[#This Row],[Työttömät ja palveluissa olevat (2023)]]*Taulukko4[[ ]]</f>
        <v>821776.34000000008</v>
      </c>
      <c r="I120" s="461">
        <f>Taulukko3[[#This Row],[Vieraskieliset (2023)]]*Taulukko4[[  ]]</f>
        <v>35253.75</v>
      </c>
      <c r="J120" s="494">
        <f>SUM('TE25 Palveluiden rahoitus'!$G120:$I120)</f>
        <v>1605044</v>
      </c>
      <c r="K120" s="499"/>
      <c r="L120" s="505">
        <v>1050114.8937345962</v>
      </c>
      <c r="M120" s="458">
        <f>'TE25 Palveluiden rahoitus'!$J120*-0.5</f>
        <v>-802522</v>
      </c>
      <c r="N120" s="458">
        <f t="shared" si="4"/>
        <v>247592.8937345962</v>
      </c>
      <c r="O120" s="510">
        <f t="shared" si="5"/>
        <v>1852636.8937345962</v>
      </c>
      <c r="P120" s="474"/>
      <c r="Q120" s="514">
        <v>-122396.61</v>
      </c>
    </row>
    <row r="121" spans="1:17" ht="12.75">
      <c r="A121" s="474">
        <v>309</v>
      </c>
      <c r="B121" s="474" t="s">
        <v>121</v>
      </c>
      <c r="C121" s="459">
        <v>3175</v>
      </c>
      <c r="D121" s="459">
        <v>633</v>
      </c>
      <c r="E121" s="459">
        <v>414</v>
      </c>
      <c r="G121" s="493">
        <f>Taulukko3[[#This Row],[Väestö, 18-64-vuotiaat (2023)]]*Taulukko4[Perushinnat, €]</f>
        <v>304831.75</v>
      </c>
      <c r="H121" s="461">
        <f>Taulukko3[[#This Row],[Työttömät ja palveluissa olevat (2023)]]*Taulukko4[[ ]]</f>
        <v>534619.14</v>
      </c>
      <c r="I121" s="461">
        <f>Taulukko3[[#This Row],[Vieraskieliset (2023)]]*Taulukko4[[  ]]</f>
        <v>24529.5</v>
      </c>
      <c r="J121" s="494">
        <f>SUM('TE25 Palveluiden rahoitus'!$G121:$I121)</f>
        <v>863980.39</v>
      </c>
      <c r="K121" s="499"/>
      <c r="L121" s="505">
        <v>607487.24377321999</v>
      </c>
      <c r="M121" s="458">
        <f>'TE25 Palveluiden rahoitus'!$J121*-0.5</f>
        <v>-431990.19500000001</v>
      </c>
      <c r="N121" s="458">
        <f t="shared" si="4"/>
        <v>175497.04877321998</v>
      </c>
      <c r="O121" s="510">
        <f t="shared" si="5"/>
        <v>1039477.4387732199</v>
      </c>
      <c r="P121" s="474"/>
      <c r="Q121" s="514">
        <v>-49879.25</v>
      </c>
    </row>
    <row r="122" spans="1:17" ht="12.75">
      <c r="A122" s="474">
        <v>312</v>
      </c>
      <c r="B122" s="474" t="s">
        <v>122</v>
      </c>
      <c r="C122" s="459">
        <v>503</v>
      </c>
      <c r="D122" s="459">
        <v>54</v>
      </c>
      <c r="E122" s="459">
        <v>31</v>
      </c>
      <c r="G122" s="493">
        <f>Taulukko3[[#This Row],[Väestö, 18-64-vuotiaat (2023)]]*Taulukko4[Perushinnat, €]</f>
        <v>48293.030000000006</v>
      </c>
      <c r="H122" s="461">
        <f>Taulukko3[[#This Row],[Työttömät ja palveluissa olevat (2023)]]*Taulukko4[[ ]]</f>
        <v>45607.32</v>
      </c>
      <c r="I122" s="461">
        <f>Taulukko3[[#This Row],[Vieraskieliset (2023)]]*Taulukko4[[  ]]</f>
        <v>1836.75</v>
      </c>
      <c r="J122" s="494">
        <f>SUM('TE25 Palveluiden rahoitus'!$G122:$I122)</f>
        <v>95737.1</v>
      </c>
      <c r="K122" s="499"/>
      <c r="L122" s="505">
        <v>42835.409425679827</v>
      </c>
      <c r="M122" s="458">
        <f>'TE25 Palveluiden rahoitus'!$J122*-0.5</f>
        <v>-47868.55</v>
      </c>
      <c r="N122" s="458">
        <f t="shared" si="4"/>
        <v>-5033.1405743201758</v>
      </c>
      <c r="O122" s="510">
        <f t="shared" si="5"/>
        <v>90703.95942567983</v>
      </c>
      <c r="P122" s="474"/>
      <c r="Q122" s="514">
        <v>-7902.13</v>
      </c>
    </row>
    <row r="123" spans="1:17" ht="12.75">
      <c r="A123" s="474">
        <v>316</v>
      </c>
      <c r="B123" s="474" t="s">
        <v>123</v>
      </c>
      <c r="C123" s="459">
        <v>2262</v>
      </c>
      <c r="D123" s="459">
        <v>280</v>
      </c>
      <c r="E123" s="459">
        <v>192</v>
      </c>
      <c r="G123" s="493">
        <f>Taulukko3[[#This Row],[Väestö, 18-64-vuotiaat (2023)]]*Taulukko4[Perushinnat, €]</f>
        <v>217174.62000000002</v>
      </c>
      <c r="H123" s="461">
        <f>Taulukko3[[#This Row],[Työttömät ja palveluissa olevat (2023)]]*Taulukko4[[ ]]</f>
        <v>236482.40000000002</v>
      </c>
      <c r="I123" s="461">
        <f>Taulukko3[[#This Row],[Vieraskieliset (2023)]]*Taulukko4[[  ]]</f>
        <v>11376</v>
      </c>
      <c r="J123" s="494">
        <f>SUM('TE25 Palveluiden rahoitus'!$G123:$I123)</f>
        <v>465033.02</v>
      </c>
      <c r="K123" s="499"/>
      <c r="L123" s="505">
        <v>292064.53141247702</v>
      </c>
      <c r="M123" s="458">
        <f>'TE25 Palveluiden rahoitus'!$J123*-0.5</f>
        <v>-232516.51</v>
      </c>
      <c r="N123" s="458">
        <f t="shared" si="4"/>
        <v>59548.021412477014</v>
      </c>
      <c r="O123" s="510">
        <f t="shared" si="5"/>
        <v>524581.04141247703</v>
      </c>
      <c r="P123" s="474"/>
      <c r="Q123" s="514">
        <v>-35536.020000000004</v>
      </c>
    </row>
    <row r="124" spans="1:17" ht="12.75">
      <c r="A124" s="474">
        <v>317</v>
      </c>
      <c r="B124" s="474" t="s">
        <v>124</v>
      </c>
      <c r="C124" s="459">
        <v>1174</v>
      </c>
      <c r="D124" s="459">
        <v>132</v>
      </c>
      <c r="E124" s="459">
        <v>39</v>
      </c>
      <c r="G124" s="493">
        <f>Taulukko3[[#This Row],[Väestö, 18-64-vuotiaat (2023)]]*Taulukko4[Perushinnat, €]</f>
        <v>112715.74</v>
      </c>
      <c r="H124" s="461">
        <f>Taulukko3[[#This Row],[Työttömät ja palveluissa olevat (2023)]]*Taulukko4[[ ]]</f>
        <v>111484.56000000001</v>
      </c>
      <c r="I124" s="461">
        <f>Taulukko3[[#This Row],[Vieraskieliset (2023)]]*Taulukko4[[  ]]</f>
        <v>2310.75</v>
      </c>
      <c r="J124" s="494">
        <f>SUM('TE25 Palveluiden rahoitus'!$G124:$I124)</f>
        <v>226511.05000000002</v>
      </c>
      <c r="K124" s="499"/>
      <c r="L124" s="505">
        <v>137877.09083363824</v>
      </c>
      <c r="M124" s="458">
        <f>'TE25 Palveluiden rahoitus'!$J124*-0.5</f>
        <v>-113255.52500000001</v>
      </c>
      <c r="N124" s="458">
        <f t="shared" si="4"/>
        <v>24621.565833638233</v>
      </c>
      <c r="O124" s="510">
        <f t="shared" si="5"/>
        <v>251132.61583363824</v>
      </c>
      <c r="P124" s="474"/>
      <c r="Q124" s="514">
        <v>-18443.54</v>
      </c>
    </row>
    <row r="125" spans="1:17" ht="12.75">
      <c r="A125" s="474">
        <v>320</v>
      </c>
      <c r="B125" s="474" t="s">
        <v>125</v>
      </c>
      <c r="C125" s="459">
        <v>3265</v>
      </c>
      <c r="D125" s="459">
        <v>570</v>
      </c>
      <c r="E125" s="459">
        <v>280</v>
      </c>
      <c r="G125" s="493">
        <f>Taulukko3[[#This Row],[Väestö, 18-64-vuotiaat (2023)]]*Taulukko4[Perushinnat, €]</f>
        <v>313472.65000000002</v>
      </c>
      <c r="H125" s="461">
        <f>Taulukko3[[#This Row],[Työttömät ja palveluissa olevat (2023)]]*Taulukko4[[ ]]</f>
        <v>481410.60000000003</v>
      </c>
      <c r="I125" s="461">
        <f>Taulukko3[[#This Row],[Vieraskieliset (2023)]]*Taulukko4[[  ]]</f>
        <v>16590</v>
      </c>
      <c r="J125" s="494">
        <f>SUM('TE25 Palveluiden rahoitus'!$G125:$I125)</f>
        <v>811473.25</v>
      </c>
      <c r="K125" s="499"/>
      <c r="L125" s="505">
        <v>473646.63260352018</v>
      </c>
      <c r="M125" s="458">
        <f>'TE25 Palveluiden rahoitus'!$J125*-0.5</f>
        <v>-405736.625</v>
      </c>
      <c r="N125" s="458">
        <f t="shared" si="4"/>
        <v>67910.007603520178</v>
      </c>
      <c r="O125" s="510">
        <f t="shared" si="5"/>
        <v>879383.25760352006</v>
      </c>
      <c r="P125" s="474"/>
      <c r="Q125" s="514">
        <v>-51293.15</v>
      </c>
    </row>
    <row r="126" spans="1:17" ht="12.75">
      <c r="A126" s="474">
        <v>322</v>
      </c>
      <c r="B126" s="474" t="s">
        <v>126</v>
      </c>
      <c r="C126" s="459">
        <v>3191</v>
      </c>
      <c r="D126" s="459">
        <v>273</v>
      </c>
      <c r="E126" s="459">
        <v>240</v>
      </c>
      <c r="G126" s="493">
        <f>Taulukko3[[#This Row],[Väestö, 18-64-vuotiaat (2023)]]*Taulukko4[Perushinnat, €]</f>
        <v>306367.91000000003</v>
      </c>
      <c r="H126" s="461">
        <f>Taulukko3[[#This Row],[Työttömät ja palveluissa olevat (2023)]]*Taulukko4[[ ]]</f>
        <v>230570.34000000003</v>
      </c>
      <c r="I126" s="461">
        <f>Taulukko3[[#This Row],[Vieraskieliset (2023)]]*Taulukko4[[  ]]</f>
        <v>14220</v>
      </c>
      <c r="J126" s="494">
        <f>SUM('TE25 Palveluiden rahoitus'!$G126:$I126)</f>
        <v>551158.25</v>
      </c>
      <c r="K126" s="499"/>
      <c r="L126" s="505">
        <v>243561.43375581215</v>
      </c>
      <c r="M126" s="458">
        <f>'TE25 Palveluiden rahoitus'!$J126*-0.5</f>
        <v>-275579.125</v>
      </c>
      <c r="N126" s="458">
        <f t="shared" si="4"/>
        <v>-32017.691244187852</v>
      </c>
      <c r="O126" s="510">
        <f t="shared" si="5"/>
        <v>519140.55875581212</v>
      </c>
      <c r="P126" s="474"/>
      <c r="Q126" s="514">
        <v>-50130.61</v>
      </c>
    </row>
    <row r="127" spans="1:17" ht="12.75">
      <c r="A127" s="474">
        <v>398</v>
      </c>
      <c r="B127" s="474" t="s">
        <v>127</v>
      </c>
      <c r="C127" s="459">
        <v>69442</v>
      </c>
      <c r="D127" s="459">
        <v>10240</v>
      </c>
      <c r="E127" s="459">
        <v>11259</v>
      </c>
      <c r="G127" s="493">
        <f>Taulukko3[[#This Row],[Väestö, 18-64-vuotiaat (2023)]]*Taulukko4[Perushinnat, €]</f>
        <v>6667126.4199999999</v>
      </c>
      <c r="H127" s="461">
        <f>Taulukko3[[#This Row],[Työttömät ja palveluissa olevat (2023)]]*Taulukko4[[ ]]</f>
        <v>8648499.2000000011</v>
      </c>
      <c r="I127" s="461">
        <f>Taulukko3[[#This Row],[Vieraskieliset (2023)]]*Taulukko4[[  ]]</f>
        <v>667095.75</v>
      </c>
      <c r="J127" s="494">
        <f>SUM('TE25 Palveluiden rahoitus'!$G127:$I127)</f>
        <v>15982721.370000001</v>
      </c>
      <c r="K127" s="499"/>
      <c r="L127" s="505">
        <v>7631422.0646300651</v>
      </c>
      <c r="M127" s="458">
        <f>'TE25 Palveluiden rahoitus'!$J127*-0.5</f>
        <v>-7991360.6850000005</v>
      </c>
      <c r="N127" s="458">
        <f t="shared" si="4"/>
        <v>-359938.62036993541</v>
      </c>
      <c r="O127" s="510">
        <f t="shared" si="5"/>
        <v>15622782.749630066</v>
      </c>
      <c r="P127" s="474"/>
      <c r="Q127" s="514">
        <v>-1090933.82</v>
      </c>
    </row>
    <row r="128" spans="1:17" ht="12.75">
      <c r="A128" s="474">
        <v>399</v>
      </c>
      <c r="B128" s="474" t="s">
        <v>128</v>
      </c>
      <c r="C128" s="459">
        <v>4032</v>
      </c>
      <c r="D128" s="459">
        <v>263</v>
      </c>
      <c r="E128" s="459">
        <v>142</v>
      </c>
      <c r="G128" s="493">
        <f>Taulukko3[[#This Row],[Väestö, 18-64-vuotiaat (2023)]]*Taulukko4[Perushinnat, €]</f>
        <v>387112.32</v>
      </c>
      <c r="H128" s="461">
        <f>Taulukko3[[#This Row],[Työttömät ja palveluissa olevat (2023)]]*Taulukko4[[ ]]</f>
        <v>222124.54</v>
      </c>
      <c r="I128" s="461">
        <f>Taulukko3[[#This Row],[Vieraskieliset (2023)]]*Taulukko4[[  ]]</f>
        <v>8413.5</v>
      </c>
      <c r="J128" s="494">
        <f>SUM('TE25 Palveluiden rahoitus'!$G128:$I128)</f>
        <v>617650.36</v>
      </c>
      <c r="K128" s="499"/>
      <c r="L128" s="505">
        <v>342475.47169753874</v>
      </c>
      <c r="M128" s="458">
        <f>'TE25 Palveluiden rahoitus'!$J128*-0.5</f>
        <v>-308825.18</v>
      </c>
      <c r="N128" s="458">
        <f t="shared" si="4"/>
        <v>33650.291697538749</v>
      </c>
      <c r="O128" s="510">
        <f t="shared" si="5"/>
        <v>651300.65169753879</v>
      </c>
      <c r="P128" s="474"/>
      <c r="Q128" s="514">
        <v>-63342.720000000001</v>
      </c>
    </row>
    <row r="129" spans="1:17" ht="12.75">
      <c r="A129" s="474">
        <v>400</v>
      </c>
      <c r="B129" s="474" t="s">
        <v>129</v>
      </c>
      <c r="C129" s="459">
        <v>4609</v>
      </c>
      <c r="D129" s="459">
        <v>449</v>
      </c>
      <c r="E129" s="459">
        <v>1005</v>
      </c>
      <c r="G129" s="493">
        <f>Taulukko3[[#This Row],[Väestö, 18-64-vuotiaat (2023)]]*Taulukko4[Perushinnat, €]</f>
        <v>442510.09</v>
      </c>
      <c r="H129" s="461">
        <f>Taulukko3[[#This Row],[Työttömät ja palveluissa olevat (2023)]]*Taulukko4[[ ]]</f>
        <v>379216.42000000004</v>
      </c>
      <c r="I129" s="461">
        <f>Taulukko3[[#This Row],[Vieraskieliset (2023)]]*Taulukko4[[  ]]</f>
        <v>59546.25</v>
      </c>
      <c r="J129" s="494">
        <f>SUM('TE25 Palveluiden rahoitus'!$G129:$I129)</f>
        <v>881272.76</v>
      </c>
      <c r="K129" s="499"/>
      <c r="L129" s="505">
        <v>405990.61473941134</v>
      </c>
      <c r="M129" s="458">
        <f>'TE25 Palveluiden rahoitus'!$J129*-0.5</f>
        <v>-440636.38</v>
      </c>
      <c r="N129" s="458">
        <f t="shared" si="4"/>
        <v>-34645.765260588669</v>
      </c>
      <c r="O129" s="510">
        <f t="shared" si="5"/>
        <v>846626.99473941128</v>
      </c>
      <c r="P129" s="474"/>
      <c r="Q129" s="514">
        <v>-72407.39</v>
      </c>
    </row>
    <row r="130" spans="1:17" ht="12.75">
      <c r="A130" s="474">
        <v>402</v>
      </c>
      <c r="B130" s="474" t="s">
        <v>130</v>
      </c>
      <c r="C130" s="459">
        <v>4699</v>
      </c>
      <c r="D130" s="459">
        <v>583</v>
      </c>
      <c r="E130" s="459">
        <v>257</v>
      </c>
      <c r="G130" s="493">
        <f>Taulukko3[[#This Row],[Väestö, 18-64-vuotiaat (2023)]]*Taulukko4[Perushinnat, €]</f>
        <v>451150.99000000005</v>
      </c>
      <c r="H130" s="461">
        <f>Taulukko3[[#This Row],[Työttömät ja palveluissa olevat (2023)]]*Taulukko4[[ ]]</f>
        <v>492390.14</v>
      </c>
      <c r="I130" s="461">
        <f>Taulukko3[[#This Row],[Vieraskieliset (2023)]]*Taulukko4[[  ]]</f>
        <v>15227.25</v>
      </c>
      <c r="J130" s="494">
        <f>SUM('TE25 Palveluiden rahoitus'!$G130:$I130)</f>
        <v>958768.38000000012</v>
      </c>
      <c r="K130" s="499"/>
      <c r="L130" s="505">
        <v>580875.42995725828</v>
      </c>
      <c r="M130" s="458">
        <f>'TE25 Palveluiden rahoitus'!$J130*-0.5</f>
        <v>-479384.19000000006</v>
      </c>
      <c r="N130" s="458">
        <f t="shared" si="4"/>
        <v>101491.23995725822</v>
      </c>
      <c r="O130" s="510">
        <f t="shared" si="5"/>
        <v>1060259.6199572585</v>
      </c>
      <c r="P130" s="474"/>
      <c r="Q130" s="514">
        <v>-73821.290000000008</v>
      </c>
    </row>
    <row r="131" spans="1:17" ht="12.75">
      <c r="A131" s="474">
        <v>403</v>
      </c>
      <c r="B131" s="474" t="s">
        <v>131</v>
      </c>
      <c r="C131" s="459">
        <v>1256</v>
      </c>
      <c r="D131" s="459">
        <v>99</v>
      </c>
      <c r="E131" s="459">
        <v>166</v>
      </c>
      <c r="G131" s="493">
        <f>Taulukko3[[#This Row],[Väestö, 18-64-vuotiaat (2023)]]*Taulukko4[Perushinnat, €]</f>
        <v>120588.56000000001</v>
      </c>
      <c r="H131" s="461">
        <f>Taulukko3[[#This Row],[Työttömät ja palveluissa olevat (2023)]]*Taulukko4[[ ]]</f>
        <v>83613.42</v>
      </c>
      <c r="I131" s="461">
        <f>Taulukko3[[#This Row],[Vieraskieliset (2023)]]*Taulukko4[[  ]]</f>
        <v>9835.5</v>
      </c>
      <c r="J131" s="494">
        <f>SUM('TE25 Palveluiden rahoitus'!$G131:$I131)</f>
        <v>214037.48</v>
      </c>
      <c r="K131" s="499"/>
      <c r="L131" s="505">
        <v>114923.6568086733</v>
      </c>
      <c r="M131" s="458">
        <f>'TE25 Palveluiden rahoitus'!$J131*-0.5</f>
        <v>-107018.74</v>
      </c>
      <c r="N131" s="458">
        <f t="shared" si="4"/>
        <v>7904.9168086732971</v>
      </c>
      <c r="O131" s="510">
        <f t="shared" si="5"/>
        <v>221942.39680867334</v>
      </c>
      <c r="P131" s="474"/>
      <c r="Q131" s="514">
        <v>-19731.760000000002</v>
      </c>
    </row>
    <row r="132" spans="1:17" ht="12.75">
      <c r="A132" s="474">
        <v>405</v>
      </c>
      <c r="B132" s="474" t="s">
        <v>132</v>
      </c>
      <c r="C132" s="459">
        <v>42925</v>
      </c>
      <c r="D132" s="459">
        <v>5078</v>
      </c>
      <c r="E132" s="459">
        <v>7228</v>
      </c>
      <c r="G132" s="493">
        <f>Taulukko3[[#This Row],[Väestö, 18-64-vuotiaat (2023)]]*Taulukko4[Perushinnat, €]</f>
        <v>4121229.25</v>
      </c>
      <c r="H132" s="461">
        <f>Taulukko3[[#This Row],[Työttömät ja palveluissa olevat (2023)]]*Taulukko4[[ ]]</f>
        <v>4288777.24</v>
      </c>
      <c r="I132" s="461">
        <f>Taulukko3[[#This Row],[Vieraskieliset (2023)]]*Taulukko4[[  ]]</f>
        <v>428259</v>
      </c>
      <c r="J132" s="494">
        <f>SUM('TE25 Palveluiden rahoitus'!$G132:$I132)</f>
        <v>8838265.4900000002</v>
      </c>
      <c r="K132" s="499"/>
      <c r="L132" s="505">
        <v>5107801.3208206343</v>
      </c>
      <c r="M132" s="458">
        <f>'TE25 Palveluiden rahoitus'!$J132*-0.5</f>
        <v>-4419132.7450000001</v>
      </c>
      <c r="N132" s="458">
        <f t="shared" si="4"/>
        <v>688668.57582063414</v>
      </c>
      <c r="O132" s="510">
        <f t="shared" si="5"/>
        <v>9526934.0658206344</v>
      </c>
      <c r="P132" s="474"/>
      <c r="Q132" s="514">
        <v>-674351.75</v>
      </c>
    </row>
    <row r="133" spans="1:17" ht="12.75">
      <c r="A133" s="474">
        <v>407</v>
      </c>
      <c r="B133" s="474" t="s">
        <v>133</v>
      </c>
      <c r="C133" s="459">
        <v>1284</v>
      </c>
      <c r="D133" s="459">
        <v>134</v>
      </c>
      <c r="E133" s="459">
        <v>172</v>
      </c>
      <c r="G133" s="493">
        <f>Taulukko3[[#This Row],[Väestö, 18-64-vuotiaat (2023)]]*Taulukko4[Perushinnat, €]</f>
        <v>123276.84000000001</v>
      </c>
      <c r="H133" s="461">
        <f>Taulukko3[[#This Row],[Työttömät ja palveluissa olevat (2023)]]*Taulukko4[[ ]]</f>
        <v>113173.72</v>
      </c>
      <c r="I133" s="461">
        <f>Taulukko3[[#This Row],[Vieraskieliset (2023)]]*Taulukko4[[  ]]</f>
        <v>10191</v>
      </c>
      <c r="J133" s="494">
        <f>SUM('TE25 Palveluiden rahoitus'!$G133:$I133)</f>
        <v>246641.56</v>
      </c>
      <c r="K133" s="499"/>
      <c r="L133" s="505">
        <v>117704.5921025369</v>
      </c>
      <c r="M133" s="458">
        <f>'TE25 Palveluiden rahoitus'!$J133*-0.5</f>
        <v>-123320.78</v>
      </c>
      <c r="N133" s="458">
        <f t="shared" si="4"/>
        <v>-5616.1878974630963</v>
      </c>
      <c r="O133" s="510">
        <f t="shared" si="5"/>
        <v>241025.37210253687</v>
      </c>
      <c r="P133" s="474"/>
      <c r="Q133" s="514">
        <v>-20171.64</v>
      </c>
    </row>
    <row r="134" spans="1:17" ht="12.75">
      <c r="A134" s="474">
        <v>408</v>
      </c>
      <c r="B134" s="474" t="s">
        <v>134</v>
      </c>
      <c r="C134" s="459">
        <v>7544</v>
      </c>
      <c r="D134" s="459">
        <v>605</v>
      </c>
      <c r="E134" s="459">
        <v>545</v>
      </c>
      <c r="G134" s="493">
        <f>Taulukko3[[#This Row],[Väestö, 18-64-vuotiaat (2023)]]*Taulukko4[Perushinnat, €]</f>
        <v>724299.44000000006</v>
      </c>
      <c r="H134" s="461">
        <f>Taulukko3[[#This Row],[Työttömät ja palveluissa olevat (2023)]]*Taulukko4[[ ]]</f>
        <v>510970.9</v>
      </c>
      <c r="I134" s="461">
        <f>Taulukko3[[#This Row],[Vieraskieliset (2023)]]*Taulukko4[[  ]]</f>
        <v>32291.25</v>
      </c>
      <c r="J134" s="494">
        <f>SUM('TE25 Palveluiden rahoitus'!$G134:$I134)</f>
        <v>1267561.5900000001</v>
      </c>
      <c r="K134" s="499"/>
      <c r="L134" s="505">
        <v>649780.74837697647</v>
      </c>
      <c r="M134" s="458">
        <f>'TE25 Palveluiden rahoitus'!$J134*-0.5</f>
        <v>-633780.79500000004</v>
      </c>
      <c r="N134" s="458">
        <f t="shared" si="4"/>
        <v>15999.953376976424</v>
      </c>
      <c r="O134" s="510">
        <f t="shared" si="5"/>
        <v>1283561.5433769766</v>
      </c>
      <c r="P134" s="474"/>
      <c r="Q134" s="514">
        <v>-118516.24</v>
      </c>
    </row>
    <row r="135" spans="1:17" ht="12.75">
      <c r="A135" s="474">
        <v>410</v>
      </c>
      <c r="B135" s="474" t="s">
        <v>135</v>
      </c>
      <c r="C135" s="459">
        <v>9847</v>
      </c>
      <c r="D135" s="459">
        <v>1205</v>
      </c>
      <c r="E135" s="459">
        <v>371</v>
      </c>
      <c r="G135" s="493">
        <f>Taulukko3[[#This Row],[Väestö, 18-64-vuotiaat (2023)]]*Taulukko4[Perushinnat, €]</f>
        <v>945410.47000000009</v>
      </c>
      <c r="H135" s="461">
        <f>Taulukko3[[#This Row],[Työttömät ja palveluissa olevat (2023)]]*Taulukko4[[ ]]</f>
        <v>1017718.9</v>
      </c>
      <c r="I135" s="461">
        <f>Taulukko3[[#This Row],[Vieraskieliset (2023)]]*Taulukko4[[  ]]</f>
        <v>21981.75</v>
      </c>
      <c r="J135" s="494">
        <f>SUM('TE25 Palveluiden rahoitus'!$G135:$I135)</f>
        <v>1985111.12</v>
      </c>
      <c r="K135" s="499"/>
      <c r="L135" s="505">
        <v>989420.81712713058</v>
      </c>
      <c r="M135" s="458">
        <f>'TE25 Palveluiden rahoitus'!$J135*-0.5</f>
        <v>-992555.56</v>
      </c>
      <c r="N135" s="458">
        <f t="shared" si="4"/>
        <v>-3134.7428728694795</v>
      </c>
      <c r="O135" s="510">
        <f t="shared" si="5"/>
        <v>1981976.3771271305</v>
      </c>
      <c r="P135" s="474"/>
      <c r="Q135" s="514">
        <v>-154696.37</v>
      </c>
    </row>
    <row r="136" spans="1:17" ht="12.75">
      <c r="A136" s="474">
        <v>416</v>
      </c>
      <c r="B136" s="474" t="s">
        <v>136</v>
      </c>
      <c r="C136" s="459">
        <v>1519</v>
      </c>
      <c r="D136" s="459">
        <v>135</v>
      </c>
      <c r="E136" s="459">
        <v>70</v>
      </c>
      <c r="G136" s="493">
        <f>Taulukko3[[#This Row],[Väestö, 18-64-vuotiaat (2023)]]*Taulukko4[Perushinnat, €]</f>
        <v>145839.19</v>
      </c>
      <c r="H136" s="461">
        <f>Taulukko3[[#This Row],[Työttömät ja palveluissa olevat (2023)]]*Taulukko4[[ ]]</f>
        <v>114018.3</v>
      </c>
      <c r="I136" s="461">
        <f>Taulukko3[[#This Row],[Vieraskieliset (2023)]]*Taulukko4[[  ]]</f>
        <v>4147.5</v>
      </c>
      <c r="J136" s="494">
        <f>SUM('TE25 Palveluiden rahoitus'!$G136:$I136)</f>
        <v>264004.99</v>
      </c>
      <c r="K136" s="499"/>
      <c r="L136" s="505">
        <v>121081.37235297471</v>
      </c>
      <c r="M136" s="458">
        <f>'TE25 Palveluiden rahoitus'!$J136*-0.5</f>
        <v>-132002.495</v>
      </c>
      <c r="N136" s="458">
        <f t="shared" si="4"/>
        <v>-10921.122647025288</v>
      </c>
      <c r="O136" s="510">
        <f t="shared" si="5"/>
        <v>253083.86735297472</v>
      </c>
      <c r="P136" s="474"/>
      <c r="Q136" s="514">
        <v>-23863.49</v>
      </c>
    </row>
    <row r="137" spans="1:17" ht="12.75">
      <c r="A137" s="474">
        <v>418</v>
      </c>
      <c r="B137" s="474" t="s">
        <v>137</v>
      </c>
      <c r="C137" s="459">
        <v>14121</v>
      </c>
      <c r="D137" s="459">
        <v>1145</v>
      </c>
      <c r="E137" s="459">
        <v>782</v>
      </c>
      <c r="G137" s="493">
        <f>Taulukko3[[#This Row],[Väestö, 18-64-vuotiaat (2023)]]*Taulukko4[Perushinnat, €]</f>
        <v>1355757.21</v>
      </c>
      <c r="H137" s="461">
        <f>Taulukko3[[#This Row],[Työttömät ja palveluissa olevat (2023)]]*Taulukko4[[ ]]</f>
        <v>967044.10000000009</v>
      </c>
      <c r="I137" s="461">
        <f>Taulukko3[[#This Row],[Vieraskieliset (2023)]]*Taulukko4[[  ]]</f>
        <v>46333.5</v>
      </c>
      <c r="J137" s="494">
        <f>SUM('TE25 Palveluiden rahoitus'!$G137:$I137)</f>
        <v>2369134.81</v>
      </c>
      <c r="K137" s="499"/>
      <c r="L137" s="505">
        <v>858985.57185697672</v>
      </c>
      <c r="M137" s="458">
        <f>'TE25 Palveluiden rahoitus'!$J137*-0.5</f>
        <v>-1184567.405</v>
      </c>
      <c r="N137" s="458">
        <f t="shared" si="4"/>
        <v>-325581.83314302331</v>
      </c>
      <c r="O137" s="510">
        <f t="shared" si="5"/>
        <v>2043552.976856977</v>
      </c>
      <c r="P137" s="474"/>
      <c r="Q137" s="514">
        <v>-221840.91</v>
      </c>
    </row>
    <row r="138" spans="1:17" ht="12.75">
      <c r="A138" s="474">
        <v>420</v>
      </c>
      <c r="B138" s="474" t="s">
        <v>138</v>
      </c>
      <c r="C138" s="459">
        <v>4576</v>
      </c>
      <c r="D138" s="459">
        <v>439</v>
      </c>
      <c r="E138" s="459">
        <v>243</v>
      </c>
      <c r="G138" s="493">
        <f>Taulukko3[[#This Row],[Väestö, 18-64-vuotiaat (2023)]]*Taulukko4[Perushinnat, €]</f>
        <v>439341.76</v>
      </c>
      <c r="H138" s="461">
        <f>Taulukko3[[#This Row],[Työttömät ja palveluissa olevat (2023)]]*Taulukko4[[ ]]</f>
        <v>370770.62</v>
      </c>
      <c r="I138" s="461">
        <f>Taulukko3[[#This Row],[Vieraskieliset (2023)]]*Taulukko4[[  ]]</f>
        <v>14397.75</v>
      </c>
      <c r="J138" s="494">
        <f>SUM('TE25 Palveluiden rahoitus'!$G138:$I138)</f>
        <v>824510.13</v>
      </c>
      <c r="K138" s="499"/>
      <c r="L138" s="505">
        <v>405758.16605750367</v>
      </c>
      <c r="M138" s="458">
        <f>'TE25 Palveluiden rahoitus'!$J138*-0.5</f>
        <v>-412255.065</v>
      </c>
      <c r="N138" s="458">
        <f t="shared" si="4"/>
        <v>-6496.8989424963365</v>
      </c>
      <c r="O138" s="510">
        <f t="shared" si="5"/>
        <v>818013.23105750373</v>
      </c>
      <c r="P138" s="474"/>
      <c r="Q138" s="514">
        <v>-71888.960000000006</v>
      </c>
    </row>
    <row r="139" spans="1:17" ht="12.75">
      <c r="A139" s="474">
        <v>421</v>
      </c>
      <c r="B139" s="474" t="s">
        <v>139</v>
      </c>
      <c r="C139" s="459">
        <v>325</v>
      </c>
      <c r="D139" s="459">
        <v>25</v>
      </c>
      <c r="E139" s="459">
        <v>10</v>
      </c>
      <c r="G139" s="493">
        <f>Taulukko3[[#This Row],[Väestö, 18-64-vuotiaat (2023)]]*Taulukko4[Perushinnat, €]</f>
        <v>31203.25</v>
      </c>
      <c r="H139" s="461">
        <f>Taulukko3[[#This Row],[Työttömät ja palveluissa olevat (2023)]]*Taulukko4[[ ]]</f>
        <v>21114.5</v>
      </c>
      <c r="I139" s="461">
        <f>Taulukko3[[#This Row],[Vieraskieliset (2023)]]*Taulukko4[[  ]]</f>
        <v>592.5</v>
      </c>
      <c r="J139" s="494">
        <f>SUM('TE25 Palveluiden rahoitus'!$G139:$I139)</f>
        <v>52910.25</v>
      </c>
      <c r="K139" s="499"/>
      <c r="L139" s="505">
        <v>31612.010817401602</v>
      </c>
      <c r="M139" s="458">
        <f>'TE25 Palveluiden rahoitus'!$J139*-0.5</f>
        <v>-26455.125</v>
      </c>
      <c r="N139" s="458">
        <f t="shared" si="4"/>
        <v>5156.8858174016023</v>
      </c>
      <c r="O139" s="510">
        <f t="shared" si="5"/>
        <v>58067.135817401606</v>
      </c>
      <c r="P139" s="474"/>
      <c r="Q139" s="514">
        <v>-5105.75</v>
      </c>
    </row>
    <row r="140" spans="1:17" ht="12.75">
      <c r="A140" s="474">
        <v>422</v>
      </c>
      <c r="B140" s="474" t="s">
        <v>140</v>
      </c>
      <c r="C140" s="459">
        <v>4804</v>
      </c>
      <c r="D140" s="459">
        <v>911</v>
      </c>
      <c r="E140" s="459">
        <v>587</v>
      </c>
      <c r="G140" s="493">
        <f>Taulukko3[[#This Row],[Väestö, 18-64-vuotiaat (2023)]]*Taulukko4[Perushinnat, €]</f>
        <v>461232.04000000004</v>
      </c>
      <c r="H140" s="461">
        <f>Taulukko3[[#This Row],[Työttömät ja palveluissa olevat (2023)]]*Taulukko4[[ ]]</f>
        <v>769412.38</v>
      </c>
      <c r="I140" s="461">
        <f>Taulukko3[[#This Row],[Vieraskieliset (2023)]]*Taulukko4[[  ]]</f>
        <v>34779.75</v>
      </c>
      <c r="J140" s="494">
        <f>SUM('TE25 Palveluiden rahoitus'!$G140:$I140)</f>
        <v>1265424.17</v>
      </c>
      <c r="K140" s="499"/>
      <c r="L140" s="505">
        <v>1000193.9319625814</v>
      </c>
      <c r="M140" s="458">
        <f>'TE25 Palveluiden rahoitus'!$J140*-0.5</f>
        <v>-632712.08499999996</v>
      </c>
      <c r="N140" s="458">
        <f t="shared" si="4"/>
        <v>367481.84696258139</v>
      </c>
      <c r="O140" s="510">
        <f t="shared" si="5"/>
        <v>1632906.0169625813</v>
      </c>
      <c r="P140" s="474"/>
      <c r="Q140" s="514">
        <v>-75470.840000000011</v>
      </c>
    </row>
    <row r="141" spans="1:17" ht="12.75">
      <c r="A141" s="474">
        <v>423</v>
      </c>
      <c r="B141" s="474" t="s">
        <v>141</v>
      </c>
      <c r="C141" s="459">
        <v>11696</v>
      </c>
      <c r="D141" s="459">
        <v>756</v>
      </c>
      <c r="E141" s="459">
        <v>936</v>
      </c>
      <c r="G141" s="493">
        <f>Taulukko3[[#This Row],[Väestö, 18-64-vuotiaat (2023)]]*Taulukko4[Perushinnat, €]</f>
        <v>1122932.96</v>
      </c>
      <c r="H141" s="461">
        <f>Taulukko3[[#This Row],[Työttömät ja palveluissa olevat (2023)]]*Taulukko4[[ ]]</f>
        <v>638502.48</v>
      </c>
      <c r="I141" s="461">
        <f>Taulukko3[[#This Row],[Vieraskieliset (2023)]]*Taulukko4[[  ]]</f>
        <v>55458</v>
      </c>
      <c r="J141" s="494">
        <f>SUM('TE25 Palveluiden rahoitus'!$G141:$I141)</f>
        <v>1816893.4399999999</v>
      </c>
      <c r="K141" s="499"/>
      <c r="L141" s="505">
        <v>797903.99985955271</v>
      </c>
      <c r="M141" s="458">
        <f>'TE25 Palveluiden rahoitus'!$J141*-0.5</f>
        <v>-908446.71999999997</v>
      </c>
      <c r="N141" s="458">
        <f t="shared" ref="N141:N204" si="6">L141+M141</f>
        <v>-110542.72014044726</v>
      </c>
      <c r="O141" s="510">
        <f t="shared" ref="O141:O204" si="7">J141+L141+M141</f>
        <v>1706350.7198595528</v>
      </c>
      <c r="P141" s="474"/>
      <c r="Q141" s="514">
        <v>-183744.16</v>
      </c>
    </row>
    <row r="142" spans="1:17" ht="12.75">
      <c r="A142" s="474">
        <v>425</v>
      </c>
      <c r="B142" s="474" t="s">
        <v>142</v>
      </c>
      <c r="C142" s="459">
        <v>5376</v>
      </c>
      <c r="D142" s="459">
        <v>414</v>
      </c>
      <c r="E142" s="459">
        <v>107</v>
      </c>
      <c r="G142" s="493">
        <f>Taulukko3[[#This Row],[Väestö, 18-64-vuotiaat (2023)]]*Taulukko4[Perushinnat, €]</f>
        <v>516149.76000000001</v>
      </c>
      <c r="H142" s="461">
        <f>Taulukko3[[#This Row],[Työttömät ja palveluissa olevat (2023)]]*Taulukko4[[ ]]</f>
        <v>349656.12</v>
      </c>
      <c r="I142" s="461">
        <f>Taulukko3[[#This Row],[Vieraskieliset (2023)]]*Taulukko4[[  ]]</f>
        <v>6339.75</v>
      </c>
      <c r="J142" s="494">
        <f>SUM('TE25 Palveluiden rahoitus'!$G142:$I142)</f>
        <v>872145.63</v>
      </c>
      <c r="K142" s="499"/>
      <c r="L142" s="505">
        <v>470562.24429193529</v>
      </c>
      <c r="M142" s="458">
        <f>'TE25 Palveluiden rahoitus'!$J142*-0.5</f>
        <v>-436072.815</v>
      </c>
      <c r="N142" s="458">
        <f t="shared" si="6"/>
        <v>34489.429291935288</v>
      </c>
      <c r="O142" s="510">
        <f t="shared" si="7"/>
        <v>906635.05929193529</v>
      </c>
      <c r="P142" s="474"/>
      <c r="Q142" s="514">
        <v>-84456.960000000006</v>
      </c>
    </row>
    <row r="143" spans="1:17" ht="12.75">
      <c r="A143" s="474">
        <v>426</v>
      </c>
      <c r="B143" s="474" t="s">
        <v>143</v>
      </c>
      <c r="C143" s="459">
        <v>6557</v>
      </c>
      <c r="D143" s="459">
        <v>780</v>
      </c>
      <c r="E143" s="459">
        <v>290</v>
      </c>
      <c r="G143" s="493">
        <f>Taulukko3[[#This Row],[Väestö, 18-64-vuotiaat (2023)]]*Taulukko4[Perushinnat, €]</f>
        <v>629537.57000000007</v>
      </c>
      <c r="H143" s="461">
        <f>Taulukko3[[#This Row],[Työttömät ja palveluissa olevat (2023)]]*Taulukko4[[ ]]</f>
        <v>658772.4</v>
      </c>
      <c r="I143" s="461">
        <f>Taulukko3[[#This Row],[Vieraskieliset (2023)]]*Taulukko4[[  ]]</f>
        <v>17182.5</v>
      </c>
      <c r="J143" s="494">
        <f>SUM('TE25 Palveluiden rahoitus'!$G143:$I143)</f>
        <v>1305492.4700000002</v>
      </c>
      <c r="K143" s="499"/>
      <c r="L143" s="505">
        <v>877274.44289393607</v>
      </c>
      <c r="M143" s="458">
        <f>'TE25 Palveluiden rahoitus'!$J143*-0.5</f>
        <v>-652746.2350000001</v>
      </c>
      <c r="N143" s="458">
        <f t="shared" si="6"/>
        <v>224528.20789393596</v>
      </c>
      <c r="O143" s="510">
        <f t="shared" si="7"/>
        <v>1530020.6778939359</v>
      </c>
      <c r="P143" s="474"/>
      <c r="Q143" s="514">
        <v>-103010.47</v>
      </c>
    </row>
    <row r="144" spans="1:17" ht="12.75">
      <c r="A144" s="474">
        <v>430</v>
      </c>
      <c r="B144" s="474" t="s">
        <v>144</v>
      </c>
      <c r="C144" s="459">
        <v>7863</v>
      </c>
      <c r="D144" s="459">
        <v>932</v>
      </c>
      <c r="E144" s="459">
        <v>859</v>
      </c>
      <c r="G144" s="493">
        <f>Taulukko3[[#This Row],[Väestö, 18-64-vuotiaat (2023)]]*Taulukko4[Perushinnat, €]</f>
        <v>754926.63</v>
      </c>
      <c r="H144" s="461">
        <f>Taulukko3[[#This Row],[Työttömät ja palveluissa olevat (2023)]]*Taulukko4[[ ]]</f>
        <v>787148.56</v>
      </c>
      <c r="I144" s="461">
        <f>Taulukko3[[#This Row],[Vieraskieliset (2023)]]*Taulukko4[[  ]]</f>
        <v>50895.75</v>
      </c>
      <c r="J144" s="494">
        <f>SUM('TE25 Palveluiden rahoitus'!$G144:$I144)</f>
        <v>1592970.94</v>
      </c>
      <c r="K144" s="499"/>
      <c r="L144" s="505">
        <v>682906.63585372921</v>
      </c>
      <c r="M144" s="458">
        <f>'TE25 Palveluiden rahoitus'!$J144*-0.5</f>
        <v>-796485.47</v>
      </c>
      <c r="N144" s="458">
        <f t="shared" si="6"/>
        <v>-113578.83414627076</v>
      </c>
      <c r="O144" s="510">
        <f t="shared" si="7"/>
        <v>1479392.1058537292</v>
      </c>
      <c r="P144" s="474"/>
      <c r="Q144" s="514">
        <v>-123527.73000000001</v>
      </c>
    </row>
    <row r="145" spans="1:17" ht="12.75">
      <c r="A145" s="474">
        <v>433</v>
      </c>
      <c r="B145" s="474" t="s">
        <v>145</v>
      </c>
      <c r="C145" s="459">
        <v>4142</v>
      </c>
      <c r="D145" s="459">
        <v>304</v>
      </c>
      <c r="E145" s="459">
        <v>258</v>
      </c>
      <c r="G145" s="493">
        <f>Taulukko3[[#This Row],[Väestö, 18-64-vuotiaat (2023)]]*Taulukko4[Perushinnat, €]</f>
        <v>397673.42000000004</v>
      </c>
      <c r="H145" s="461">
        <f>Taulukko3[[#This Row],[Työttömät ja palveluissa olevat (2023)]]*Taulukko4[[ ]]</f>
        <v>256752.32</v>
      </c>
      <c r="I145" s="461">
        <f>Taulukko3[[#This Row],[Vieraskieliset (2023)]]*Taulukko4[[  ]]</f>
        <v>15286.5</v>
      </c>
      <c r="J145" s="494">
        <f>SUM('TE25 Palveluiden rahoitus'!$G145:$I145)</f>
        <v>669712.24</v>
      </c>
      <c r="K145" s="499"/>
      <c r="L145" s="505">
        <v>313699.55268295511</v>
      </c>
      <c r="M145" s="458">
        <f>'TE25 Palveluiden rahoitus'!$J145*-0.5</f>
        <v>-334856.12</v>
      </c>
      <c r="N145" s="458">
        <f t="shared" si="6"/>
        <v>-21156.567317044886</v>
      </c>
      <c r="O145" s="510">
        <f t="shared" si="7"/>
        <v>648555.67268295505</v>
      </c>
      <c r="P145" s="474"/>
      <c r="Q145" s="514">
        <v>-65070.820000000007</v>
      </c>
    </row>
    <row r="146" spans="1:17" ht="12.75">
      <c r="A146" s="474">
        <v>434</v>
      </c>
      <c r="B146" s="474" t="s">
        <v>146</v>
      </c>
      <c r="C146" s="459">
        <v>7668</v>
      </c>
      <c r="D146" s="459">
        <v>893</v>
      </c>
      <c r="E146" s="459">
        <v>829</v>
      </c>
      <c r="G146" s="493">
        <f>Taulukko3[[#This Row],[Väestö, 18-64-vuotiaat (2023)]]*Taulukko4[Perushinnat, €]</f>
        <v>736204.68</v>
      </c>
      <c r="H146" s="461">
        <f>Taulukko3[[#This Row],[Työttömät ja palveluissa olevat (2023)]]*Taulukko4[[ ]]</f>
        <v>754209.94000000006</v>
      </c>
      <c r="I146" s="461">
        <f>Taulukko3[[#This Row],[Vieraskieliset (2023)]]*Taulukko4[[  ]]</f>
        <v>49118.25</v>
      </c>
      <c r="J146" s="494">
        <f>SUM('TE25 Palveluiden rahoitus'!$G146:$I146)</f>
        <v>1539532.87</v>
      </c>
      <c r="K146" s="499"/>
      <c r="L146" s="505">
        <v>859255.74521865207</v>
      </c>
      <c r="M146" s="458">
        <f>'TE25 Palveluiden rahoitus'!$J146*-0.5</f>
        <v>-769766.43500000006</v>
      </c>
      <c r="N146" s="458">
        <f t="shared" si="6"/>
        <v>89489.310218652012</v>
      </c>
      <c r="O146" s="510">
        <f t="shared" si="7"/>
        <v>1629022.1802186524</v>
      </c>
      <c r="P146" s="474"/>
      <c r="Q146" s="514">
        <v>-120464.28000000001</v>
      </c>
    </row>
    <row r="147" spans="1:17" ht="12.75">
      <c r="A147" s="474">
        <v>435</v>
      </c>
      <c r="B147" s="474" t="s">
        <v>147</v>
      </c>
      <c r="C147" s="459">
        <v>327</v>
      </c>
      <c r="D147" s="459">
        <v>38</v>
      </c>
      <c r="E147" s="459">
        <v>6</v>
      </c>
      <c r="G147" s="493">
        <f>Taulukko3[[#This Row],[Väestö, 18-64-vuotiaat (2023)]]*Taulukko4[Perushinnat, €]</f>
        <v>31395.27</v>
      </c>
      <c r="H147" s="461">
        <f>Taulukko3[[#This Row],[Työttömät ja palveluissa olevat (2023)]]*Taulukko4[[ ]]</f>
        <v>32094.04</v>
      </c>
      <c r="I147" s="461">
        <f>Taulukko3[[#This Row],[Vieraskieliset (2023)]]*Taulukko4[[  ]]</f>
        <v>355.5</v>
      </c>
      <c r="J147" s="494">
        <f>SUM('TE25 Palveluiden rahoitus'!$G147:$I147)</f>
        <v>63844.81</v>
      </c>
      <c r="K147" s="499"/>
      <c r="L147" s="505">
        <v>21292.163750868091</v>
      </c>
      <c r="M147" s="458">
        <f>'TE25 Palveluiden rahoitus'!$J147*-0.5</f>
        <v>-31922.404999999999</v>
      </c>
      <c r="N147" s="458">
        <f t="shared" si="6"/>
        <v>-10630.241249131908</v>
      </c>
      <c r="O147" s="510">
        <f t="shared" si="7"/>
        <v>53214.568750868086</v>
      </c>
      <c r="P147" s="474"/>
      <c r="Q147" s="514">
        <v>-5137.17</v>
      </c>
    </row>
    <row r="148" spans="1:17" ht="12.75">
      <c r="A148" s="474">
        <v>436</v>
      </c>
      <c r="B148" s="474" t="s">
        <v>148</v>
      </c>
      <c r="C148" s="459">
        <v>1023</v>
      </c>
      <c r="D148" s="459">
        <v>94</v>
      </c>
      <c r="E148" s="459">
        <v>91</v>
      </c>
      <c r="G148" s="493">
        <f>Taulukko3[[#This Row],[Väestö, 18-64-vuotiaat (2023)]]*Taulukko4[Perushinnat, €]</f>
        <v>98218.23000000001</v>
      </c>
      <c r="H148" s="461">
        <f>Taulukko3[[#This Row],[Työttömät ja palveluissa olevat (2023)]]*Taulukko4[[ ]]</f>
        <v>79390.52</v>
      </c>
      <c r="I148" s="461">
        <f>Taulukko3[[#This Row],[Vieraskieliset (2023)]]*Taulukko4[[  ]]</f>
        <v>5391.75</v>
      </c>
      <c r="J148" s="494">
        <f>SUM('TE25 Palveluiden rahoitus'!$G148:$I148)</f>
        <v>183000.5</v>
      </c>
      <c r="K148" s="499"/>
      <c r="L148" s="505">
        <v>51685.582672436067</v>
      </c>
      <c r="M148" s="458">
        <f>'TE25 Palveluiden rahoitus'!$J148*-0.5</f>
        <v>-91500.25</v>
      </c>
      <c r="N148" s="458">
        <f t="shared" si="6"/>
        <v>-39814.667327563933</v>
      </c>
      <c r="O148" s="510">
        <f t="shared" si="7"/>
        <v>143185.83267243608</v>
      </c>
      <c r="P148" s="474"/>
      <c r="Q148" s="514">
        <v>-16071.330000000002</v>
      </c>
    </row>
    <row r="149" spans="1:17" ht="12.75">
      <c r="A149" s="474">
        <v>440</v>
      </c>
      <c r="B149" s="474" t="s">
        <v>149</v>
      </c>
      <c r="C149" s="459">
        <v>2978</v>
      </c>
      <c r="D149" s="459">
        <v>93</v>
      </c>
      <c r="E149" s="459">
        <v>192</v>
      </c>
      <c r="G149" s="493">
        <f>Taulukko3[[#This Row],[Väestö, 18-64-vuotiaat (2023)]]*Taulukko4[Perushinnat, €]</f>
        <v>285917.78000000003</v>
      </c>
      <c r="H149" s="461">
        <f>Taulukko3[[#This Row],[Työttömät ja palveluissa olevat (2023)]]*Taulukko4[[ ]]</f>
        <v>78545.94</v>
      </c>
      <c r="I149" s="461">
        <f>Taulukko3[[#This Row],[Vieraskieliset (2023)]]*Taulukko4[[  ]]</f>
        <v>11376</v>
      </c>
      <c r="J149" s="494">
        <f>SUM('TE25 Palveluiden rahoitus'!$G149:$I149)</f>
        <v>375839.72000000003</v>
      </c>
      <c r="K149" s="499"/>
      <c r="L149" s="505">
        <v>91668.345971181945</v>
      </c>
      <c r="M149" s="458">
        <f>'TE25 Palveluiden rahoitus'!$J149*-0.5</f>
        <v>-187919.86000000002</v>
      </c>
      <c r="N149" s="458">
        <f t="shared" si="6"/>
        <v>-96251.51402881807</v>
      </c>
      <c r="O149" s="510">
        <f t="shared" si="7"/>
        <v>279588.20597118197</v>
      </c>
      <c r="P149" s="474"/>
      <c r="Q149" s="514">
        <v>-46784.380000000005</v>
      </c>
    </row>
    <row r="150" spans="1:17" ht="12.75">
      <c r="A150" s="474">
        <v>441</v>
      </c>
      <c r="B150" s="474" t="s">
        <v>150</v>
      </c>
      <c r="C150" s="459">
        <v>2173</v>
      </c>
      <c r="D150" s="459">
        <v>263</v>
      </c>
      <c r="E150" s="459">
        <v>223</v>
      </c>
      <c r="G150" s="493">
        <f>Taulukko3[[#This Row],[Väestö, 18-64-vuotiaat (2023)]]*Taulukko4[Perushinnat, €]</f>
        <v>208629.73</v>
      </c>
      <c r="H150" s="461">
        <f>Taulukko3[[#This Row],[Työttömät ja palveluissa olevat (2023)]]*Taulukko4[[ ]]</f>
        <v>222124.54</v>
      </c>
      <c r="I150" s="461">
        <f>Taulukko3[[#This Row],[Vieraskieliset (2023)]]*Taulukko4[[  ]]</f>
        <v>13212.75</v>
      </c>
      <c r="J150" s="494">
        <f>SUM('TE25 Palveluiden rahoitus'!$G150:$I150)</f>
        <v>443967.02</v>
      </c>
      <c r="K150" s="499"/>
      <c r="L150" s="505">
        <v>260068.3200279953</v>
      </c>
      <c r="M150" s="458">
        <f>'TE25 Palveluiden rahoitus'!$J150*-0.5</f>
        <v>-221983.51</v>
      </c>
      <c r="N150" s="458">
        <f t="shared" si="6"/>
        <v>38084.810027995292</v>
      </c>
      <c r="O150" s="510">
        <f t="shared" si="7"/>
        <v>482051.83002799528</v>
      </c>
      <c r="P150" s="474"/>
      <c r="Q150" s="514">
        <v>-34137.83</v>
      </c>
    </row>
    <row r="151" spans="1:17" ht="12.75">
      <c r="A151" s="474">
        <v>444</v>
      </c>
      <c r="B151" s="474" t="s">
        <v>151</v>
      </c>
      <c r="C151" s="459">
        <v>25260</v>
      </c>
      <c r="D151" s="459">
        <v>2791</v>
      </c>
      <c r="E151" s="459">
        <v>2929</v>
      </c>
      <c r="G151" s="493">
        <f>Taulukko3[[#This Row],[Väestö, 18-64-vuotiaat (2023)]]*Taulukko4[Perushinnat, €]</f>
        <v>2425212.6</v>
      </c>
      <c r="H151" s="461">
        <f>Taulukko3[[#This Row],[Työttömät ja palveluissa olevat (2023)]]*Taulukko4[[ ]]</f>
        <v>2357222.7800000003</v>
      </c>
      <c r="I151" s="461">
        <f>Taulukko3[[#This Row],[Vieraskieliset (2023)]]*Taulukko4[[  ]]</f>
        <v>173543.25</v>
      </c>
      <c r="J151" s="494">
        <f>SUM('TE25 Palveluiden rahoitus'!$G151:$I151)</f>
        <v>4955978.6300000008</v>
      </c>
      <c r="K151" s="499"/>
      <c r="L151" s="505">
        <v>1980358.8205573668</v>
      </c>
      <c r="M151" s="458">
        <f>'TE25 Palveluiden rahoitus'!$J151*-0.5</f>
        <v>-2477989.3150000004</v>
      </c>
      <c r="N151" s="458">
        <f t="shared" si="6"/>
        <v>-497630.49444263359</v>
      </c>
      <c r="O151" s="510">
        <f t="shared" si="7"/>
        <v>4458348.1355573675</v>
      </c>
      <c r="P151" s="474"/>
      <c r="Q151" s="514">
        <v>-396834.60000000003</v>
      </c>
    </row>
    <row r="152" spans="1:17" ht="12.75">
      <c r="A152" s="474">
        <v>445</v>
      </c>
      <c r="B152" s="474" t="s">
        <v>152</v>
      </c>
      <c r="C152" s="459">
        <v>7877</v>
      </c>
      <c r="D152" s="459">
        <v>562</v>
      </c>
      <c r="E152" s="459">
        <v>685</v>
      </c>
      <c r="G152" s="493">
        <f>Taulukko3[[#This Row],[Väestö, 18-64-vuotiaat (2023)]]*Taulukko4[Perushinnat, €]</f>
        <v>756270.77</v>
      </c>
      <c r="H152" s="461">
        <f>Taulukko3[[#This Row],[Työttömät ja palveluissa olevat (2023)]]*Taulukko4[[ ]]</f>
        <v>474653.96</v>
      </c>
      <c r="I152" s="461">
        <f>Taulukko3[[#This Row],[Vieraskieliset (2023)]]*Taulukko4[[  ]]</f>
        <v>40586.25</v>
      </c>
      <c r="J152" s="494">
        <f>SUM('TE25 Palveluiden rahoitus'!$G152:$I152)</f>
        <v>1271510.98</v>
      </c>
      <c r="K152" s="499"/>
      <c r="L152" s="505">
        <v>372362.52259306575</v>
      </c>
      <c r="M152" s="458">
        <f>'TE25 Palveluiden rahoitus'!$J152*-0.5</f>
        <v>-635755.49</v>
      </c>
      <c r="N152" s="458">
        <f t="shared" si="6"/>
        <v>-263392.96740693424</v>
      </c>
      <c r="O152" s="510">
        <f t="shared" si="7"/>
        <v>1008118.0125930656</v>
      </c>
      <c r="P152" s="474"/>
      <c r="Q152" s="514">
        <v>-123747.67000000001</v>
      </c>
    </row>
    <row r="153" spans="1:17" ht="12.75">
      <c r="A153" s="474">
        <v>475</v>
      </c>
      <c r="B153" s="474" t="s">
        <v>153</v>
      </c>
      <c r="C153" s="459">
        <v>2823</v>
      </c>
      <c r="D153" s="459">
        <v>152</v>
      </c>
      <c r="E153" s="459">
        <v>320</v>
      </c>
      <c r="G153" s="493">
        <f>Taulukko3[[#This Row],[Väestö, 18-64-vuotiaat (2023)]]*Taulukko4[Perushinnat, €]</f>
        <v>271036.23000000004</v>
      </c>
      <c r="H153" s="461">
        <f>Taulukko3[[#This Row],[Työttömät ja palveluissa olevat (2023)]]*Taulukko4[[ ]]</f>
        <v>128376.16</v>
      </c>
      <c r="I153" s="461">
        <f>Taulukko3[[#This Row],[Vieraskieliset (2023)]]*Taulukko4[[  ]]</f>
        <v>18960</v>
      </c>
      <c r="J153" s="494">
        <f>SUM('TE25 Palveluiden rahoitus'!$G153:$I153)</f>
        <v>418372.39</v>
      </c>
      <c r="K153" s="499"/>
      <c r="L153" s="505">
        <v>178921.07907363886</v>
      </c>
      <c r="M153" s="458">
        <f>'TE25 Palveluiden rahoitus'!$J153*-0.5</f>
        <v>-209186.19500000001</v>
      </c>
      <c r="N153" s="458">
        <f t="shared" si="6"/>
        <v>-30265.115926361148</v>
      </c>
      <c r="O153" s="510">
        <f t="shared" si="7"/>
        <v>388107.2740736389</v>
      </c>
      <c r="P153" s="474"/>
      <c r="Q153" s="514">
        <v>-44349.33</v>
      </c>
    </row>
    <row r="154" spans="1:17" ht="12.75">
      <c r="A154" s="474">
        <v>480</v>
      </c>
      <c r="B154" s="474" t="s">
        <v>154</v>
      </c>
      <c r="C154" s="459">
        <v>1010</v>
      </c>
      <c r="D154" s="459">
        <v>97</v>
      </c>
      <c r="E154" s="459">
        <v>66</v>
      </c>
      <c r="G154" s="493">
        <f>Taulukko3[[#This Row],[Väestö, 18-64-vuotiaat (2023)]]*Taulukko4[Perushinnat, €]</f>
        <v>96970.1</v>
      </c>
      <c r="H154" s="461">
        <f>Taulukko3[[#This Row],[Työttömät ja palveluissa olevat (2023)]]*Taulukko4[[ ]]</f>
        <v>81924.260000000009</v>
      </c>
      <c r="I154" s="461">
        <f>Taulukko3[[#This Row],[Vieraskieliset (2023)]]*Taulukko4[[  ]]</f>
        <v>3910.5</v>
      </c>
      <c r="J154" s="494">
        <f>SUM('TE25 Palveluiden rahoitus'!$G154:$I154)</f>
        <v>182804.86000000002</v>
      </c>
      <c r="K154" s="499"/>
      <c r="L154" s="505">
        <v>91947.872261206314</v>
      </c>
      <c r="M154" s="458">
        <f>'TE25 Palveluiden rahoitus'!$J154*-0.5</f>
        <v>-91402.430000000008</v>
      </c>
      <c r="N154" s="458">
        <f t="shared" si="6"/>
        <v>545.44226120630628</v>
      </c>
      <c r="O154" s="510">
        <f t="shared" si="7"/>
        <v>183350.30226120632</v>
      </c>
      <c r="P154" s="474"/>
      <c r="Q154" s="514">
        <v>-15867.1</v>
      </c>
    </row>
    <row r="155" spans="1:17" ht="12.75">
      <c r="A155" s="474">
        <v>481</v>
      </c>
      <c r="B155" s="474" t="s">
        <v>155</v>
      </c>
      <c r="C155" s="459">
        <v>5527</v>
      </c>
      <c r="D155" s="459">
        <v>314</v>
      </c>
      <c r="E155" s="459">
        <v>261</v>
      </c>
      <c r="G155" s="493">
        <f>Taulukko3[[#This Row],[Väestö, 18-64-vuotiaat (2023)]]*Taulukko4[Perushinnat, €]</f>
        <v>530647.27</v>
      </c>
      <c r="H155" s="461">
        <f>Taulukko3[[#This Row],[Työttömät ja palveluissa olevat (2023)]]*Taulukko4[[ ]]</f>
        <v>265198.12</v>
      </c>
      <c r="I155" s="461">
        <f>Taulukko3[[#This Row],[Vieraskieliset (2023)]]*Taulukko4[[  ]]</f>
        <v>15464.25</v>
      </c>
      <c r="J155" s="494">
        <f>SUM('TE25 Palveluiden rahoitus'!$G155:$I155)</f>
        <v>811309.64</v>
      </c>
      <c r="K155" s="499"/>
      <c r="L155" s="505">
        <v>253474.6892533346</v>
      </c>
      <c r="M155" s="458">
        <f>'TE25 Palveluiden rahoitus'!$J155*-0.5</f>
        <v>-405654.82</v>
      </c>
      <c r="N155" s="458">
        <f t="shared" si="6"/>
        <v>-152180.13074666541</v>
      </c>
      <c r="O155" s="510">
        <f t="shared" si="7"/>
        <v>659129.50925333449</v>
      </c>
      <c r="P155" s="474"/>
      <c r="Q155" s="514">
        <v>-86829.17</v>
      </c>
    </row>
    <row r="156" spans="1:17" ht="12.75">
      <c r="A156" s="474">
        <v>483</v>
      </c>
      <c r="B156" s="474" t="s">
        <v>156</v>
      </c>
      <c r="C156" s="459">
        <v>476</v>
      </c>
      <c r="D156" s="459">
        <v>61</v>
      </c>
      <c r="E156" s="459">
        <v>3</v>
      </c>
      <c r="G156" s="493">
        <f>Taulukko3[[#This Row],[Väestö, 18-64-vuotiaat (2023)]]*Taulukko4[Perushinnat, €]</f>
        <v>45700.76</v>
      </c>
      <c r="H156" s="461">
        <f>Taulukko3[[#This Row],[Työttömät ja palveluissa olevat (2023)]]*Taulukko4[[ ]]</f>
        <v>51519.380000000005</v>
      </c>
      <c r="I156" s="461">
        <f>Taulukko3[[#This Row],[Vieraskieliset (2023)]]*Taulukko4[[  ]]</f>
        <v>177.75</v>
      </c>
      <c r="J156" s="494">
        <f>SUM('TE25 Palveluiden rahoitus'!$G156:$I156)</f>
        <v>97397.890000000014</v>
      </c>
      <c r="K156" s="499"/>
      <c r="L156" s="505">
        <v>116037.08080608965</v>
      </c>
      <c r="M156" s="458">
        <f>'TE25 Palveluiden rahoitus'!$J156*-0.5</f>
        <v>-48698.945000000007</v>
      </c>
      <c r="N156" s="458">
        <f t="shared" si="6"/>
        <v>67338.135806089645</v>
      </c>
      <c r="O156" s="510">
        <f t="shared" si="7"/>
        <v>164736.02580608966</v>
      </c>
      <c r="P156" s="474"/>
      <c r="Q156" s="514">
        <v>-7477.96</v>
      </c>
    </row>
    <row r="157" spans="1:17" ht="12.75">
      <c r="A157" s="474">
        <v>484</v>
      </c>
      <c r="B157" s="474" t="s">
        <v>157</v>
      </c>
      <c r="C157" s="459">
        <v>1364</v>
      </c>
      <c r="D157" s="459">
        <v>139</v>
      </c>
      <c r="E157" s="459">
        <v>97</v>
      </c>
      <c r="G157" s="493">
        <f>Taulukko3[[#This Row],[Väestö, 18-64-vuotiaat (2023)]]*Taulukko4[Perushinnat, €]</f>
        <v>130957.64000000001</v>
      </c>
      <c r="H157" s="461">
        <f>Taulukko3[[#This Row],[Työttömät ja palveluissa olevat (2023)]]*Taulukko4[[ ]]</f>
        <v>117396.62000000001</v>
      </c>
      <c r="I157" s="461">
        <f>Taulukko3[[#This Row],[Vieraskieliset (2023)]]*Taulukko4[[  ]]</f>
        <v>5747.25</v>
      </c>
      <c r="J157" s="494">
        <f>SUM('TE25 Palveluiden rahoitus'!$G157:$I157)</f>
        <v>254101.51</v>
      </c>
      <c r="K157" s="499"/>
      <c r="L157" s="505">
        <v>151392.70422106129</v>
      </c>
      <c r="M157" s="458">
        <f>'TE25 Palveluiden rahoitus'!$J157*-0.5</f>
        <v>-127050.755</v>
      </c>
      <c r="N157" s="458">
        <f t="shared" si="6"/>
        <v>24341.949221061281</v>
      </c>
      <c r="O157" s="510">
        <f t="shared" si="7"/>
        <v>278443.45922106132</v>
      </c>
      <c r="P157" s="474"/>
      <c r="Q157" s="514">
        <v>-21428.440000000002</v>
      </c>
    </row>
    <row r="158" spans="1:17" ht="12.75">
      <c r="A158" s="474">
        <v>489</v>
      </c>
      <c r="B158" s="474" t="s">
        <v>158</v>
      </c>
      <c r="C158" s="459">
        <v>862</v>
      </c>
      <c r="D158" s="459">
        <v>106</v>
      </c>
      <c r="E158" s="459">
        <v>112</v>
      </c>
      <c r="G158" s="493">
        <f>Taulukko3[[#This Row],[Väestö, 18-64-vuotiaat (2023)]]*Taulukko4[Perushinnat, €]</f>
        <v>82760.62000000001</v>
      </c>
      <c r="H158" s="461">
        <f>Taulukko3[[#This Row],[Työttömät ja palveluissa olevat (2023)]]*Taulukko4[[ ]]</f>
        <v>89525.48000000001</v>
      </c>
      <c r="I158" s="461">
        <f>Taulukko3[[#This Row],[Vieraskieliset (2023)]]*Taulukko4[[  ]]</f>
        <v>6636</v>
      </c>
      <c r="J158" s="494">
        <f>SUM('TE25 Palveluiden rahoitus'!$G158:$I158)</f>
        <v>178922.10000000003</v>
      </c>
      <c r="K158" s="499"/>
      <c r="L158" s="505">
        <v>140586.16514941026</v>
      </c>
      <c r="M158" s="458">
        <f>'TE25 Palveluiden rahoitus'!$J158*-0.5</f>
        <v>-89461.050000000017</v>
      </c>
      <c r="N158" s="458">
        <f t="shared" si="6"/>
        <v>51125.115149410238</v>
      </c>
      <c r="O158" s="510">
        <f t="shared" si="7"/>
        <v>230047.21514941027</v>
      </c>
      <c r="P158" s="474"/>
      <c r="Q158" s="514">
        <v>-13542.02</v>
      </c>
    </row>
    <row r="159" spans="1:17" ht="12.75">
      <c r="A159" s="474">
        <v>491</v>
      </c>
      <c r="B159" s="474" t="s">
        <v>159</v>
      </c>
      <c r="C159" s="459">
        <v>28541</v>
      </c>
      <c r="D159" s="459">
        <v>3658</v>
      </c>
      <c r="E159" s="459">
        <v>2810</v>
      </c>
      <c r="G159" s="493">
        <f>Taulukko3[[#This Row],[Väestö, 18-64-vuotiaat (2023)]]*Taulukko4[Perushinnat, €]</f>
        <v>2740221.41</v>
      </c>
      <c r="H159" s="461">
        <f>Taulukko3[[#This Row],[Työttömät ja palveluissa olevat (2023)]]*Taulukko4[[ ]]</f>
        <v>3089473.64</v>
      </c>
      <c r="I159" s="461">
        <f>Taulukko3[[#This Row],[Vieraskieliset (2023)]]*Taulukko4[[  ]]</f>
        <v>166492.5</v>
      </c>
      <c r="J159" s="494">
        <f>SUM('TE25 Palveluiden rahoitus'!$G159:$I159)</f>
        <v>5996187.5500000007</v>
      </c>
      <c r="K159" s="499"/>
      <c r="L159" s="505">
        <v>3923795.3059920119</v>
      </c>
      <c r="M159" s="458">
        <f>'TE25 Palveluiden rahoitus'!$J159*-0.5</f>
        <v>-2998093.7750000004</v>
      </c>
      <c r="N159" s="458">
        <f t="shared" si="6"/>
        <v>925701.53099201154</v>
      </c>
      <c r="O159" s="510">
        <f t="shared" si="7"/>
        <v>6921889.0809920114</v>
      </c>
      <c r="P159" s="474"/>
      <c r="Q159" s="514">
        <v>-448379.11000000004</v>
      </c>
    </row>
    <row r="160" spans="1:17" ht="12.75">
      <c r="A160" s="474">
        <v>494</v>
      </c>
      <c r="B160" s="474" t="s">
        <v>160</v>
      </c>
      <c r="C160" s="459">
        <v>4676</v>
      </c>
      <c r="D160" s="459">
        <v>482</v>
      </c>
      <c r="E160" s="459">
        <v>140</v>
      </c>
      <c r="G160" s="493">
        <f>Taulukko3[[#This Row],[Väestö, 18-64-vuotiaat (2023)]]*Taulukko4[Perushinnat, €]</f>
        <v>448942.76</v>
      </c>
      <c r="H160" s="461">
        <f>Taulukko3[[#This Row],[Työttömät ja palveluissa olevat (2023)]]*Taulukko4[[ ]]</f>
        <v>407087.56</v>
      </c>
      <c r="I160" s="461">
        <f>Taulukko3[[#This Row],[Vieraskieliset (2023)]]*Taulukko4[[  ]]</f>
        <v>8295</v>
      </c>
      <c r="J160" s="494">
        <f>SUM('TE25 Palveluiden rahoitus'!$G160:$I160)</f>
        <v>864325.32000000007</v>
      </c>
      <c r="K160" s="499"/>
      <c r="L160" s="505">
        <v>362931.12332921365</v>
      </c>
      <c r="M160" s="458">
        <f>'TE25 Palveluiden rahoitus'!$J160*-0.5</f>
        <v>-432162.66000000003</v>
      </c>
      <c r="N160" s="458">
        <f t="shared" si="6"/>
        <v>-69231.536670786387</v>
      </c>
      <c r="O160" s="510">
        <f t="shared" si="7"/>
        <v>795093.78332921362</v>
      </c>
      <c r="P160" s="474"/>
      <c r="Q160" s="514">
        <v>-73459.960000000006</v>
      </c>
    </row>
    <row r="161" spans="1:17" ht="12.75">
      <c r="A161" s="474">
        <v>495</v>
      </c>
      <c r="B161" s="474" t="s">
        <v>161</v>
      </c>
      <c r="C161" s="459">
        <v>644</v>
      </c>
      <c r="D161" s="459">
        <v>85</v>
      </c>
      <c r="E161" s="459">
        <v>36</v>
      </c>
      <c r="G161" s="493">
        <f>Taulukko3[[#This Row],[Väestö, 18-64-vuotiaat (2023)]]*Taulukko4[Perushinnat, €]</f>
        <v>61830.44</v>
      </c>
      <c r="H161" s="461">
        <f>Taulukko3[[#This Row],[Työttömät ja palveluissa olevat (2023)]]*Taulukko4[[ ]]</f>
        <v>71789.3</v>
      </c>
      <c r="I161" s="461">
        <f>Taulukko3[[#This Row],[Vieraskieliset (2023)]]*Taulukko4[[  ]]</f>
        <v>2133</v>
      </c>
      <c r="J161" s="494">
        <f>SUM('TE25 Palveluiden rahoitus'!$G161:$I161)</f>
        <v>135752.74</v>
      </c>
      <c r="K161" s="499"/>
      <c r="L161" s="505">
        <v>78716.71246853254</v>
      </c>
      <c r="M161" s="458">
        <f>'TE25 Palveluiden rahoitus'!$J161*-0.5</f>
        <v>-67876.37</v>
      </c>
      <c r="N161" s="458">
        <f t="shared" si="6"/>
        <v>10840.342468532544</v>
      </c>
      <c r="O161" s="510">
        <f t="shared" si="7"/>
        <v>146593.08246853255</v>
      </c>
      <c r="P161" s="474"/>
      <c r="Q161" s="514">
        <v>-10117.24</v>
      </c>
    </row>
    <row r="162" spans="1:17" ht="12.75">
      <c r="A162" s="474">
        <v>498</v>
      </c>
      <c r="B162" s="474" t="s">
        <v>162</v>
      </c>
      <c r="C162" s="459">
        <v>1261</v>
      </c>
      <c r="D162" s="459">
        <v>146</v>
      </c>
      <c r="E162" s="459">
        <v>108</v>
      </c>
      <c r="G162" s="493">
        <f>Taulukko3[[#This Row],[Väestö, 18-64-vuotiaat (2023)]]*Taulukko4[Perushinnat, €]</f>
        <v>121068.61</v>
      </c>
      <c r="H162" s="461">
        <f>Taulukko3[[#This Row],[Työttömät ja palveluissa olevat (2023)]]*Taulukko4[[ ]]</f>
        <v>123308.68000000001</v>
      </c>
      <c r="I162" s="461">
        <f>Taulukko3[[#This Row],[Vieraskieliset (2023)]]*Taulukko4[[  ]]</f>
        <v>6399</v>
      </c>
      <c r="J162" s="494">
        <f>SUM('TE25 Palveluiden rahoitus'!$G162:$I162)</f>
        <v>250776.29</v>
      </c>
      <c r="K162" s="499"/>
      <c r="L162" s="505">
        <v>195805.11988278953</v>
      </c>
      <c r="M162" s="458">
        <f>'TE25 Palveluiden rahoitus'!$J162*-0.5</f>
        <v>-125388.145</v>
      </c>
      <c r="N162" s="458">
        <f t="shared" si="6"/>
        <v>70416.974882789524</v>
      </c>
      <c r="O162" s="510">
        <f t="shared" si="7"/>
        <v>321193.26488278952</v>
      </c>
      <c r="P162" s="474"/>
      <c r="Q162" s="514">
        <v>-19810.310000000001</v>
      </c>
    </row>
    <row r="163" spans="1:17" ht="12.75">
      <c r="A163" s="474">
        <v>499</v>
      </c>
      <c r="B163" s="474" t="s">
        <v>163</v>
      </c>
      <c r="C163" s="459">
        <v>10730</v>
      </c>
      <c r="D163" s="459">
        <v>519</v>
      </c>
      <c r="E163" s="459">
        <v>674</v>
      </c>
      <c r="G163" s="493">
        <f>Taulukko3[[#This Row],[Väestö, 18-64-vuotiaat (2023)]]*Taulukko4[Perushinnat, €]</f>
        <v>1030187.3</v>
      </c>
      <c r="H163" s="461">
        <f>Taulukko3[[#This Row],[Työttömät ja palveluissa olevat (2023)]]*Taulukko4[[ ]]</f>
        <v>438337.02</v>
      </c>
      <c r="I163" s="461">
        <f>Taulukko3[[#This Row],[Vieraskieliset (2023)]]*Taulukko4[[  ]]</f>
        <v>39934.5</v>
      </c>
      <c r="J163" s="494">
        <f>SUM('TE25 Palveluiden rahoitus'!$G163:$I163)</f>
        <v>1508458.82</v>
      </c>
      <c r="K163" s="499"/>
      <c r="L163" s="505">
        <v>769827.88305208529</v>
      </c>
      <c r="M163" s="458">
        <f>'TE25 Palveluiden rahoitus'!$J163*-0.5</f>
        <v>-754229.41</v>
      </c>
      <c r="N163" s="458">
        <f t="shared" si="6"/>
        <v>15598.473052085261</v>
      </c>
      <c r="O163" s="510">
        <f t="shared" si="7"/>
        <v>1524057.2930520852</v>
      </c>
      <c r="P163" s="474"/>
      <c r="Q163" s="514">
        <v>-168568.30000000002</v>
      </c>
    </row>
    <row r="164" spans="1:17" ht="12.75">
      <c r="A164" s="474">
        <v>500</v>
      </c>
      <c r="B164" s="474" t="s">
        <v>164</v>
      </c>
      <c r="C164" s="459">
        <v>5800</v>
      </c>
      <c r="D164" s="459">
        <v>552</v>
      </c>
      <c r="E164" s="459">
        <v>207</v>
      </c>
      <c r="G164" s="493">
        <f>Taulukko3[[#This Row],[Väestö, 18-64-vuotiaat (2023)]]*Taulukko4[Perushinnat, €]</f>
        <v>556858</v>
      </c>
      <c r="H164" s="461">
        <f>Taulukko3[[#This Row],[Työttömät ja palveluissa olevat (2023)]]*Taulukko4[[ ]]</f>
        <v>466208.16000000003</v>
      </c>
      <c r="I164" s="461">
        <f>Taulukko3[[#This Row],[Vieraskieliset (2023)]]*Taulukko4[[  ]]</f>
        <v>12264.75</v>
      </c>
      <c r="J164" s="494">
        <f>SUM('TE25 Palveluiden rahoitus'!$G164:$I164)</f>
        <v>1035330.91</v>
      </c>
      <c r="K164" s="499"/>
      <c r="L164" s="505">
        <v>632999.93745682423</v>
      </c>
      <c r="M164" s="458">
        <f>'TE25 Palveluiden rahoitus'!$J164*-0.5</f>
        <v>-517665.45500000002</v>
      </c>
      <c r="N164" s="458">
        <f t="shared" si="6"/>
        <v>115334.48245682422</v>
      </c>
      <c r="O164" s="510">
        <f t="shared" si="7"/>
        <v>1150665.3924568242</v>
      </c>
      <c r="P164" s="474"/>
      <c r="Q164" s="514">
        <v>-91118</v>
      </c>
    </row>
    <row r="165" spans="1:17" ht="12.75">
      <c r="A165" s="474">
        <v>503</v>
      </c>
      <c r="B165" s="474" t="s">
        <v>165</v>
      </c>
      <c r="C165" s="459">
        <v>4018</v>
      </c>
      <c r="D165" s="459">
        <v>336</v>
      </c>
      <c r="E165" s="459">
        <v>293</v>
      </c>
      <c r="G165" s="493">
        <f>Taulukko3[[#This Row],[Väestö, 18-64-vuotiaat (2023)]]*Taulukko4[Perushinnat, €]</f>
        <v>385768.18</v>
      </c>
      <c r="H165" s="461">
        <f>Taulukko3[[#This Row],[Työttömät ja palveluissa olevat (2023)]]*Taulukko4[[ ]]</f>
        <v>283778.88</v>
      </c>
      <c r="I165" s="461">
        <f>Taulukko3[[#This Row],[Vieraskieliset (2023)]]*Taulukko4[[  ]]</f>
        <v>17360.25</v>
      </c>
      <c r="J165" s="494">
        <f>SUM('TE25 Palveluiden rahoitus'!$G165:$I165)</f>
        <v>686907.31</v>
      </c>
      <c r="K165" s="499"/>
      <c r="L165" s="505">
        <v>230716.65233798933</v>
      </c>
      <c r="M165" s="458">
        <f>'TE25 Palveluiden rahoitus'!$J165*-0.5</f>
        <v>-343453.65500000003</v>
      </c>
      <c r="N165" s="458">
        <f t="shared" si="6"/>
        <v>-112737.00266201069</v>
      </c>
      <c r="O165" s="510">
        <f t="shared" si="7"/>
        <v>574170.30733798933</v>
      </c>
      <c r="P165" s="474"/>
      <c r="Q165" s="514">
        <v>-63122.780000000006</v>
      </c>
    </row>
    <row r="166" spans="1:17" ht="12.75">
      <c r="A166" s="474">
        <v>504</v>
      </c>
      <c r="B166" s="474" t="s">
        <v>166</v>
      </c>
      <c r="C166" s="459">
        <v>889</v>
      </c>
      <c r="D166" s="459">
        <v>99</v>
      </c>
      <c r="E166" s="459">
        <v>72</v>
      </c>
      <c r="G166" s="493">
        <f>Taulukko3[[#This Row],[Väestö, 18-64-vuotiaat (2023)]]*Taulukko4[Perushinnat, €]</f>
        <v>85352.89</v>
      </c>
      <c r="H166" s="461">
        <f>Taulukko3[[#This Row],[Työttömät ja palveluissa olevat (2023)]]*Taulukko4[[ ]]</f>
        <v>83613.42</v>
      </c>
      <c r="I166" s="461">
        <f>Taulukko3[[#This Row],[Vieraskieliset (2023)]]*Taulukko4[[  ]]</f>
        <v>4266</v>
      </c>
      <c r="J166" s="494">
        <f>SUM('TE25 Palveluiden rahoitus'!$G166:$I166)</f>
        <v>173232.31</v>
      </c>
      <c r="K166" s="499"/>
      <c r="L166" s="505">
        <v>72159.603197965291</v>
      </c>
      <c r="M166" s="458">
        <f>'TE25 Palveluiden rahoitus'!$J166*-0.5</f>
        <v>-86616.154999999999</v>
      </c>
      <c r="N166" s="458">
        <f t="shared" si="6"/>
        <v>-14456.551802034708</v>
      </c>
      <c r="O166" s="510">
        <f t="shared" si="7"/>
        <v>158775.7581979653</v>
      </c>
      <c r="P166" s="474"/>
      <c r="Q166" s="514">
        <v>-13966.19</v>
      </c>
    </row>
    <row r="167" spans="1:17" ht="12.75">
      <c r="A167" s="474">
        <v>505</v>
      </c>
      <c r="B167" s="474" t="s">
        <v>167</v>
      </c>
      <c r="C167" s="459">
        <v>11920</v>
      </c>
      <c r="D167" s="459">
        <v>955</v>
      </c>
      <c r="E167" s="459">
        <v>1117</v>
      </c>
      <c r="G167" s="493">
        <f>Taulukko3[[#This Row],[Väestö, 18-64-vuotiaat (2023)]]*Taulukko4[Perushinnat, €]</f>
        <v>1144439.2</v>
      </c>
      <c r="H167" s="461">
        <f>Taulukko3[[#This Row],[Työttömät ja palveluissa olevat (2023)]]*Taulukko4[[ ]]</f>
        <v>806573.9</v>
      </c>
      <c r="I167" s="461">
        <f>Taulukko3[[#This Row],[Vieraskieliset (2023)]]*Taulukko4[[  ]]</f>
        <v>66182.25</v>
      </c>
      <c r="J167" s="494">
        <f>SUM('TE25 Palveluiden rahoitus'!$G167:$I167)</f>
        <v>2017195.35</v>
      </c>
      <c r="K167" s="499"/>
      <c r="L167" s="505">
        <v>690107.02523482766</v>
      </c>
      <c r="M167" s="458">
        <f>'TE25 Palveluiden rahoitus'!$J167*-0.5</f>
        <v>-1008597.675</v>
      </c>
      <c r="N167" s="458">
        <f t="shared" si="6"/>
        <v>-318490.64976517239</v>
      </c>
      <c r="O167" s="510">
        <f t="shared" si="7"/>
        <v>1698704.7002348278</v>
      </c>
      <c r="P167" s="474"/>
      <c r="Q167" s="514">
        <v>-187263.2</v>
      </c>
    </row>
    <row r="168" spans="1:17" ht="12.75">
      <c r="A168" s="474">
        <v>507</v>
      </c>
      <c r="B168" s="474" t="s">
        <v>168</v>
      </c>
      <c r="C168" s="459">
        <v>2635</v>
      </c>
      <c r="D168" s="459">
        <v>304</v>
      </c>
      <c r="E168" s="459">
        <v>243</v>
      </c>
      <c r="G168" s="493">
        <f>Taulukko3[[#This Row],[Väestö, 18-64-vuotiaat (2023)]]*Taulukko4[Perushinnat, €]</f>
        <v>252986.35</v>
      </c>
      <c r="H168" s="461">
        <f>Taulukko3[[#This Row],[Työttömät ja palveluissa olevat (2023)]]*Taulukko4[[ ]]</f>
        <v>256752.32</v>
      </c>
      <c r="I168" s="461">
        <f>Taulukko3[[#This Row],[Vieraskieliset (2023)]]*Taulukko4[[  ]]</f>
        <v>14397.75</v>
      </c>
      <c r="J168" s="494">
        <f>SUM('TE25 Palveluiden rahoitus'!$G168:$I168)</f>
        <v>524136.42000000004</v>
      </c>
      <c r="K168" s="499"/>
      <c r="L168" s="505">
        <v>331859.11252037028</v>
      </c>
      <c r="M168" s="458">
        <f>'TE25 Palveluiden rahoitus'!$J168*-0.5</f>
        <v>-262068.21000000002</v>
      </c>
      <c r="N168" s="458">
        <f t="shared" si="6"/>
        <v>69790.902520370262</v>
      </c>
      <c r="O168" s="510">
        <f t="shared" si="7"/>
        <v>593927.32252037036</v>
      </c>
      <c r="P168" s="474"/>
      <c r="Q168" s="514">
        <v>-41395.850000000006</v>
      </c>
    </row>
    <row r="169" spans="1:17" ht="12.75">
      <c r="A169" s="474">
        <v>508</v>
      </c>
      <c r="B169" s="474" t="s">
        <v>169</v>
      </c>
      <c r="C169" s="459">
        <v>4452</v>
      </c>
      <c r="D169" s="459">
        <v>583</v>
      </c>
      <c r="E169" s="459">
        <v>355</v>
      </c>
      <c r="G169" s="493">
        <f>Taulukko3[[#This Row],[Väestö, 18-64-vuotiaat (2023)]]*Taulukko4[Perushinnat, €]</f>
        <v>427436.52</v>
      </c>
      <c r="H169" s="461">
        <f>Taulukko3[[#This Row],[Työttömät ja palveluissa olevat (2023)]]*Taulukko4[[ ]]</f>
        <v>492390.14</v>
      </c>
      <c r="I169" s="461">
        <f>Taulukko3[[#This Row],[Vieraskieliset (2023)]]*Taulukko4[[  ]]</f>
        <v>21033.75</v>
      </c>
      <c r="J169" s="494">
        <f>SUM('TE25 Palveluiden rahoitus'!$G169:$I169)</f>
        <v>940860.41</v>
      </c>
      <c r="K169" s="499"/>
      <c r="L169" s="505">
        <v>519752.38490297337</v>
      </c>
      <c r="M169" s="458">
        <f>'TE25 Palveluiden rahoitus'!$J169*-0.5</f>
        <v>-470430.20500000002</v>
      </c>
      <c r="N169" s="458">
        <f t="shared" si="6"/>
        <v>49322.179902973352</v>
      </c>
      <c r="O169" s="510">
        <f t="shared" si="7"/>
        <v>990182.58990297327</v>
      </c>
      <c r="P169" s="474"/>
      <c r="Q169" s="514">
        <v>-69940.92</v>
      </c>
    </row>
    <row r="170" spans="1:17" ht="12.75">
      <c r="A170" s="474">
        <v>529</v>
      </c>
      <c r="B170" s="474" t="s">
        <v>170</v>
      </c>
      <c r="C170" s="459">
        <v>10792</v>
      </c>
      <c r="D170" s="459">
        <v>897</v>
      </c>
      <c r="E170" s="459">
        <v>775</v>
      </c>
      <c r="G170" s="493">
        <f>Taulukko3[[#This Row],[Väestö, 18-64-vuotiaat (2023)]]*Taulukko4[Perushinnat, €]</f>
        <v>1036139.92</v>
      </c>
      <c r="H170" s="461">
        <f>Taulukko3[[#This Row],[Työttömät ja palveluissa olevat (2023)]]*Taulukko4[[ ]]</f>
        <v>757588.26</v>
      </c>
      <c r="I170" s="461">
        <f>Taulukko3[[#This Row],[Vieraskieliset (2023)]]*Taulukko4[[  ]]</f>
        <v>45918.75</v>
      </c>
      <c r="J170" s="494">
        <f>SUM('TE25 Palveluiden rahoitus'!$G170:$I170)</f>
        <v>1839646.9300000002</v>
      </c>
      <c r="K170" s="499"/>
      <c r="L170" s="505">
        <v>772241.2629999856</v>
      </c>
      <c r="M170" s="458">
        <f>'TE25 Palveluiden rahoitus'!$J170*-0.5</f>
        <v>-919823.46500000008</v>
      </c>
      <c r="N170" s="458">
        <f t="shared" si="6"/>
        <v>-147582.20200001448</v>
      </c>
      <c r="O170" s="510">
        <f t="shared" si="7"/>
        <v>1692064.7279999859</v>
      </c>
      <c r="P170" s="474"/>
      <c r="Q170" s="514">
        <v>-169542.32</v>
      </c>
    </row>
    <row r="171" spans="1:17" ht="12.75">
      <c r="A171" s="474">
        <v>531</v>
      </c>
      <c r="B171" s="474" t="s">
        <v>171</v>
      </c>
      <c r="C171" s="459">
        <v>2587</v>
      </c>
      <c r="D171" s="459">
        <v>306</v>
      </c>
      <c r="E171" s="459">
        <v>96</v>
      </c>
      <c r="G171" s="493">
        <f>Taulukko3[[#This Row],[Väestö, 18-64-vuotiaat (2023)]]*Taulukko4[Perushinnat, €]</f>
        <v>248377.87000000002</v>
      </c>
      <c r="H171" s="461">
        <f>Taulukko3[[#This Row],[Työttömät ja palveluissa olevat (2023)]]*Taulukko4[[ ]]</f>
        <v>258441.48</v>
      </c>
      <c r="I171" s="461">
        <f>Taulukko3[[#This Row],[Vieraskieliset (2023)]]*Taulukko4[[  ]]</f>
        <v>5688</v>
      </c>
      <c r="J171" s="494">
        <f>SUM('TE25 Palveluiden rahoitus'!$G171:$I171)</f>
        <v>512507.35000000003</v>
      </c>
      <c r="K171" s="499"/>
      <c r="L171" s="505">
        <v>249933.51782710297</v>
      </c>
      <c r="M171" s="458">
        <f>'TE25 Palveluiden rahoitus'!$J171*-0.5</f>
        <v>-256253.67500000002</v>
      </c>
      <c r="N171" s="458">
        <f t="shared" si="6"/>
        <v>-6320.1571728970448</v>
      </c>
      <c r="O171" s="510">
        <f t="shared" si="7"/>
        <v>506187.19282710296</v>
      </c>
      <c r="P171" s="474"/>
      <c r="Q171" s="514">
        <v>-40641.770000000004</v>
      </c>
    </row>
    <row r="172" spans="1:17" ht="12.75">
      <c r="A172" s="474">
        <v>535</v>
      </c>
      <c r="B172" s="474" t="s">
        <v>172</v>
      </c>
      <c r="C172" s="459">
        <v>5214</v>
      </c>
      <c r="D172" s="459">
        <v>450</v>
      </c>
      <c r="E172" s="459">
        <v>163</v>
      </c>
      <c r="G172" s="493">
        <f>Taulukko3[[#This Row],[Väestö, 18-64-vuotiaat (2023)]]*Taulukko4[Perushinnat, €]</f>
        <v>500596.14</v>
      </c>
      <c r="H172" s="461">
        <f>Taulukko3[[#This Row],[Työttömät ja palveluissa olevat (2023)]]*Taulukko4[[ ]]</f>
        <v>380061</v>
      </c>
      <c r="I172" s="461">
        <f>Taulukko3[[#This Row],[Vieraskieliset (2023)]]*Taulukko4[[  ]]</f>
        <v>9657.75</v>
      </c>
      <c r="J172" s="494">
        <f>SUM('TE25 Palveluiden rahoitus'!$G172:$I172)</f>
        <v>890314.89</v>
      </c>
      <c r="K172" s="499"/>
      <c r="L172" s="505">
        <v>363709.13005171425</v>
      </c>
      <c r="M172" s="458">
        <f>'TE25 Palveluiden rahoitus'!$J172*-0.5</f>
        <v>-445157.44500000001</v>
      </c>
      <c r="N172" s="458">
        <f t="shared" si="6"/>
        <v>-81448.314948285755</v>
      </c>
      <c r="O172" s="510">
        <f t="shared" si="7"/>
        <v>808866.5750517142</v>
      </c>
      <c r="P172" s="474"/>
      <c r="Q172" s="514">
        <v>-81911.94</v>
      </c>
    </row>
    <row r="173" spans="1:17" ht="12.75">
      <c r="A173" s="474">
        <v>536</v>
      </c>
      <c r="B173" s="474" t="s">
        <v>173</v>
      </c>
      <c r="C173" s="459">
        <v>20527</v>
      </c>
      <c r="D173" s="459">
        <v>1994</v>
      </c>
      <c r="E173" s="459">
        <v>1288</v>
      </c>
      <c r="G173" s="493">
        <f>Taulukko3[[#This Row],[Väestö, 18-64-vuotiaat (2023)]]*Taulukko4[Perushinnat, €]</f>
        <v>1970797.27</v>
      </c>
      <c r="H173" s="461">
        <f>Taulukko3[[#This Row],[Työttömät ja palveluissa olevat (2023)]]*Taulukko4[[ ]]</f>
        <v>1684092.52</v>
      </c>
      <c r="I173" s="461">
        <f>Taulukko3[[#This Row],[Vieraskieliset (2023)]]*Taulukko4[[  ]]</f>
        <v>76314</v>
      </c>
      <c r="J173" s="494">
        <f>SUM('TE25 Palveluiden rahoitus'!$G173:$I173)</f>
        <v>3731203.79</v>
      </c>
      <c r="K173" s="499"/>
      <c r="L173" s="505">
        <v>1694374.9193897224</v>
      </c>
      <c r="M173" s="458">
        <f>'TE25 Palveluiden rahoitus'!$J173*-0.5</f>
        <v>-1865601.895</v>
      </c>
      <c r="N173" s="458">
        <f t="shared" si="6"/>
        <v>-171226.97561027762</v>
      </c>
      <c r="O173" s="510">
        <f t="shared" si="7"/>
        <v>3559976.814389722</v>
      </c>
      <c r="P173" s="474"/>
      <c r="Q173" s="514">
        <v>-322479.17000000004</v>
      </c>
    </row>
    <row r="174" spans="1:17" ht="12.75">
      <c r="A174" s="474">
        <v>538</v>
      </c>
      <c r="B174" s="474" t="s">
        <v>174</v>
      </c>
      <c r="C174" s="459">
        <v>2631</v>
      </c>
      <c r="D174" s="459">
        <v>167</v>
      </c>
      <c r="E174" s="459">
        <v>158</v>
      </c>
      <c r="G174" s="493">
        <f>Taulukko3[[#This Row],[Väestö, 18-64-vuotiaat (2023)]]*Taulukko4[Perushinnat, €]</f>
        <v>252602.31000000003</v>
      </c>
      <c r="H174" s="461">
        <f>Taulukko3[[#This Row],[Työttömät ja palveluissa olevat (2023)]]*Taulukko4[[ ]]</f>
        <v>141044.86000000002</v>
      </c>
      <c r="I174" s="461">
        <f>Taulukko3[[#This Row],[Vieraskieliset (2023)]]*Taulukko4[[  ]]</f>
        <v>9361.5</v>
      </c>
      <c r="J174" s="494">
        <f>SUM('TE25 Palveluiden rahoitus'!$G174:$I174)</f>
        <v>403008.67000000004</v>
      </c>
      <c r="K174" s="499"/>
      <c r="L174" s="505">
        <v>141282.39853660594</v>
      </c>
      <c r="M174" s="458">
        <f>'TE25 Palveluiden rahoitus'!$J174*-0.5</f>
        <v>-201504.33500000002</v>
      </c>
      <c r="N174" s="458">
        <f t="shared" si="6"/>
        <v>-60221.936463394086</v>
      </c>
      <c r="O174" s="510">
        <f t="shared" si="7"/>
        <v>342786.7335366059</v>
      </c>
      <c r="P174" s="474"/>
      <c r="Q174" s="514">
        <v>-41333.01</v>
      </c>
    </row>
    <row r="175" spans="1:17" ht="12.75">
      <c r="A175" s="474">
        <v>541</v>
      </c>
      <c r="B175" s="474" t="s">
        <v>175</v>
      </c>
      <c r="C175" s="459">
        <v>4397</v>
      </c>
      <c r="D175" s="459">
        <v>619</v>
      </c>
      <c r="E175" s="459">
        <v>307</v>
      </c>
      <c r="G175" s="493">
        <f>Taulukko3[[#This Row],[Väestö, 18-64-vuotiaat (2023)]]*Taulukko4[Perushinnat, €]</f>
        <v>422155.97000000003</v>
      </c>
      <c r="H175" s="461">
        <f>Taulukko3[[#This Row],[Työttömät ja palveluissa olevat (2023)]]*Taulukko4[[ ]]</f>
        <v>522795.02</v>
      </c>
      <c r="I175" s="461">
        <f>Taulukko3[[#This Row],[Vieraskieliset (2023)]]*Taulukko4[[  ]]</f>
        <v>18189.75</v>
      </c>
      <c r="J175" s="494">
        <f>SUM('TE25 Palveluiden rahoitus'!$G175:$I175)</f>
        <v>963140.74</v>
      </c>
      <c r="K175" s="499"/>
      <c r="L175" s="505">
        <v>858228.22282530123</v>
      </c>
      <c r="M175" s="458">
        <f>'TE25 Palveluiden rahoitus'!$J175*-0.5</f>
        <v>-481570.37</v>
      </c>
      <c r="N175" s="458">
        <f t="shared" si="6"/>
        <v>376657.85282530123</v>
      </c>
      <c r="O175" s="510">
        <f t="shared" si="7"/>
        <v>1339798.592825301</v>
      </c>
      <c r="P175" s="474"/>
      <c r="Q175" s="514">
        <v>-69076.87000000001</v>
      </c>
    </row>
    <row r="176" spans="1:17" ht="12.75">
      <c r="A176" s="474">
        <v>543</v>
      </c>
      <c r="B176" s="474" t="s">
        <v>176</v>
      </c>
      <c r="C176" s="459">
        <v>26341</v>
      </c>
      <c r="D176" s="459">
        <v>2110</v>
      </c>
      <c r="E176" s="459">
        <v>3434</v>
      </c>
      <c r="G176" s="493">
        <f>Taulukko3[[#This Row],[Väestö, 18-64-vuotiaat (2023)]]*Taulukko4[Perushinnat, €]</f>
        <v>2528999.41</v>
      </c>
      <c r="H176" s="461">
        <f>Taulukko3[[#This Row],[Työttömät ja palveluissa olevat (2023)]]*Taulukko4[[ ]]</f>
        <v>1782063.8</v>
      </c>
      <c r="I176" s="461">
        <f>Taulukko3[[#This Row],[Vieraskieliset (2023)]]*Taulukko4[[  ]]</f>
        <v>203464.5</v>
      </c>
      <c r="J176" s="494">
        <f>SUM('TE25 Palveluiden rahoitus'!$G176:$I176)</f>
        <v>4514527.71</v>
      </c>
      <c r="K176" s="499"/>
      <c r="L176" s="505">
        <v>1491618.5454355255</v>
      </c>
      <c r="M176" s="458">
        <f>'TE25 Palveluiden rahoitus'!$J176*-0.5</f>
        <v>-2257263.855</v>
      </c>
      <c r="N176" s="458">
        <f t="shared" si="6"/>
        <v>-765645.3095644745</v>
      </c>
      <c r="O176" s="510">
        <f t="shared" si="7"/>
        <v>3748882.4004355255</v>
      </c>
      <c r="P176" s="474"/>
      <c r="Q176" s="514">
        <v>-413817.11000000004</v>
      </c>
    </row>
    <row r="177" spans="1:17" ht="12.75">
      <c r="A177" s="474">
        <v>545</v>
      </c>
      <c r="B177" s="474" t="s">
        <v>177</v>
      </c>
      <c r="C177" s="459">
        <v>5096</v>
      </c>
      <c r="D177" s="459">
        <v>298</v>
      </c>
      <c r="E177" s="459">
        <v>2012</v>
      </c>
      <c r="G177" s="493">
        <f>Taulukko3[[#This Row],[Väestö, 18-64-vuotiaat (2023)]]*Taulukko4[Perushinnat, €]</f>
        <v>489266.96</v>
      </c>
      <c r="H177" s="461">
        <f>Taulukko3[[#This Row],[Työttömät ja palveluissa olevat (2023)]]*Taulukko4[[ ]]</f>
        <v>251684.84000000003</v>
      </c>
      <c r="I177" s="461">
        <f>Taulukko3[[#This Row],[Vieraskieliset (2023)]]*Taulukko4[[  ]]</f>
        <v>119211</v>
      </c>
      <c r="J177" s="494">
        <f>SUM('TE25 Palveluiden rahoitus'!$G177:$I177)</f>
        <v>860162.8</v>
      </c>
      <c r="K177" s="499"/>
      <c r="L177" s="505">
        <v>217532.88833505279</v>
      </c>
      <c r="M177" s="458">
        <f>'TE25 Palveluiden rahoitus'!$J177*-0.5</f>
        <v>-430081.4</v>
      </c>
      <c r="N177" s="458">
        <f t="shared" si="6"/>
        <v>-212548.51166494723</v>
      </c>
      <c r="O177" s="510">
        <f t="shared" si="7"/>
        <v>647614.2883350529</v>
      </c>
      <c r="P177" s="474"/>
      <c r="Q177" s="514">
        <v>-80058.16</v>
      </c>
    </row>
    <row r="178" spans="1:17" ht="12.75">
      <c r="A178" s="474">
        <v>560</v>
      </c>
      <c r="B178" s="474" t="s">
        <v>178</v>
      </c>
      <c r="C178" s="459">
        <v>8446</v>
      </c>
      <c r="D178" s="459">
        <v>991</v>
      </c>
      <c r="E178" s="459">
        <v>595</v>
      </c>
      <c r="G178" s="493">
        <f>Taulukko3[[#This Row],[Väestö, 18-64-vuotiaat (2023)]]*Taulukko4[Perushinnat, €]</f>
        <v>810900.46000000008</v>
      </c>
      <c r="H178" s="461">
        <f>Taulukko3[[#This Row],[Työttömät ja palveluissa olevat (2023)]]*Taulukko4[[ ]]</f>
        <v>836978.78</v>
      </c>
      <c r="I178" s="461">
        <f>Taulukko3[[#This Row],[Vieraskieliset (2023)]]*Taulukko4[[  ]]</f>
        <v>35253.75</v>
      </c>
      <c r="J178" s="494">
        <f>SUM('TE25 Palveluiden rahoitus'!$G178:$I178)</f>
        <v>1683132.9900000002</v>
      </c>
      <c r="K178" s="499"/>
      <c r="L178" s="505">
        <v>814228.03269101505</v>
      </c>
      <c r="M178" s="458">
        <f>'TE25 Palveluiden rahoitus'!$J178*-0.5</f>
        <v>-841566.49500000011</v>
      </c>
      <c r="N178" s="458">
        <f t="shared" si="6"/>
        <v>-27338.462308985065</v>
      </c>
      <c r="O178" s="510">
        <f t="shared" si="7"/>
        <v>1655794.527691015</v>
      </c>
      <c r="P178" s="474"/>
      <c r="Q178" s="514">
        <v>-132686.66</v>
      </c>
    </row>
    <row r="179" spans="1:17" ht="12.75">
      <c r="A179" s="474">
        <v>561</v>
      </c>
      <c r="B179" s="474" t="s">
        <v>179</v>
      </c>
      <c r="C179" s="459">
        <v>686</v>
      </c>
      <c r="D179" s="459">
        <v>69</v>
      </c>
      <c r="E179" s="459">
        <v>116</v>
      </c>
      <c r="G179" s="493">
        <f>Taulukko3[[#This Row],[Väestö, 18-64-vuotiaat (2023)]]*Taulukko4[Perushinnat, €]</f>
        <v>65862.86</v>
      </c>
      <c r="H179" s="461">
        <f>Taulukko3[[#This Row],[Työttömät ja palveluissa olevat (2023)]]*Taulukko4[[ ]]</f>
        <v>58276.020000000004</v>
      </c>
      <c r="I179" s="461">
        <f>Taulukko3[[#This Row],[Vieraskieliset (2023)]]*Taulukko4[[  ]]</f>
        <v>6873</v>
      </c>
      <c r="J179" s="494">
        <f>SUM('TE25 Palveluiden rahoitus'!$G179:$I179)</f>
        <v>131011.88</v>
      </c>
      <c r="K179" s="499"/>
      <c r="L179" s="505">
        <v>60259.928213438019</v>
      </c>
      <c r="M179" s="458">
        <f>'TE25 Palveluiden rahoitus'!$J179*-0.5</f>
        <v>-65505.94</v>
      </c>
      <c r="N179" s="458">
        <f t="shared" si="6"/>
        <v>-5246.0117865619832</v>
      </c>
      <c r="O179" s="510">
        <f t="shared" si="7"/>
        <v>125765.86821343802</v>
      </c>
      <c r="P179" s="474"/>
      <c r="Q179" s="514">
        <v>-10777.060000000001</v>
      </c>
    </row>
    <row r="180" spans="1:17" ht="12.75">
      <c r="A180" s="474">
        <v>562</v>
      </c>
      <c r="B180" s="474" t="s">
        <v>180</v>
      </c>
      <c r="C180" s="459">
        <v>4484</v>
      </c>
      <c r="D180" s="459">
        <v>458</v>
      </c>
      <c r="E180" s="459">
        <v>201</v>
      </c>
      <c r="G180" s="493">
        <f>Taulukko3[[#This Row],[Väestö, 18-64-vuotiaat (2023)]]*Taulukko4[Perushinnat, €]</f>
        <v>430508.84</v>
      </c>
      <c r="H180" s="461">
        <f>Taulukko3[[#This Row],[Työttömät ja palveluissa olevat (2023)]]*Taulukko4[[ ]]</f>
        <v>386817.64</v>
      </c>
      <c r="I180" s="461">
        <f>Taulukko3[[#This Row],[Vieraskieliset (2023)]]*Taulukko4[[  ]]</f>
        <v>11909.25</v>
      </c>
      <c r="J180" s="494">
        <f>SUM('TE25 Palveluiden rahoitus'!$G180:$I180)</f>
        <v>829235.73</v>
      </c>
      <c r="K180" s="499"/>
      <c r="L180" s="505">
        <v>386553.95680910622</v>
      </c>
      <c r="M180" s="458">
        <f>'TE25 Palveluiden rahoitus'!$J180*-0.5</f>
        <v>-414617.86499999999</v>
      </c>
      <c r="N180" s="458">
        <f t="shared" si="6"/>
        <v>-28063.908190893766</v>
      </c>
      <c r="O180" s="510">
        <f t="shared" si="7"/>
        <v>801171.82180910627</v>
      </c>
      <c r="P180" s="474"/>
      <c r="Q180" s="514">
        <v>-70443.64</v>
      </c>
    </row>
    <row r="181" spans="1:17" ht="12.75">
      <c r="A181" s="474">
        <v>563</v>
      </c>
      <c r="B181" s="474" t="s">
        <v>181</v>
      </c>
      <c r="C181" s="459">
        <v>3469</v>
      </c>
      <c r="D181" s="459">
        <v>374</v>
      </c>
      <c r="E181" s="459">
        <v>159</v>
      </c>
      <c r="G181" s="493">
        <f>Taulukko3[[#This Row],[Väestö, 18-64-vuotiaat (2023)]]*Taulukko4[Perushinnat, €]</f>
        <v>333058.69</v>
      </c>
      <c r="H181" s="461">
        <f>Taulukko3[[#This Row],[Työttömät ja palveluissa olevat (2023)]]*Taulukko4[[ ]]</f>
        <v>315872.92000000004</v>
      </c>
      <c r="I181" s="461">
        <f>Taulukko3[[#This Row],[Vieraskieliset (2023)]]*Taulukko4[[  ]]</f>
        <v>9420.75</v>
      </c>
      <c r="J181" s="494">
        <f>SUM('TE25 Palveluiden rahoitus'!$G181:$I181)</f>
        <v>658352.3600000001</v>
      </c>
      <c r="K181" s="499"/>
      <c r="L181" s="505">
        <v>392147.85270549357</v>
      </c>
      <c r="M181" s="458">
        <f>'TE25 Palveluiden rahoitus'!$J181*-0.5</f>
        <v>-329176.18000000005</v>
      </c>
      <c r="N181" s="458">
        <f t="shared" si="6"/>
        <v>62971.672705493518</v>
      </c>
      <c r="O181" s="510">
        <f t="shared" si="7"/>
        <v>721324.03270549362</v>
      </c>
      <c r="P181" s="474"/>
      <c r="Q181" s="514">
        <v>-54497.990000000005</v>
      </c>
    </row>
    <row r="182" spans="1:17" ht="12.75">
      <c r="A182" s="474">
        <v>564</v>
      </c>
      <c r="B182" s="474" t="s">
        <v>182</v>
      </c>
      <c r="C182" s="459">
        <v>134695</v>
      </c>
      <c r="D182" s="459">
        <v>16964</v>
      </c>
      <c r="E182" s="459">
        <v>12825</v>
      </c>
      <c r="G182" s="493">
        <f>Taulukko3[[#This Row],[Väestö, 18-64-vuotiaat (2023)]]*Taulukko4[Perushinnat, €]</f>
        <v>12932066.950000001</v>
      </c>
      <c r="H182" s="461">
        <f>Taulukko3[[#This Row],[Työttömät ja palveluissa olevat (2023)]]*Taulukko4[[ ]]</f>
        <v>14327455.120000001</v>
      </c>
      <c r="I182" s="461">
        <f>Taulukko3[[#This Row],[Vieraskieliset (2023)]]*Taulukko4[[  ]]</f>
        <v>759881.25</v>
      </c>
      <c r="J182" s="494">
        <f>SUM('TE25 Palveluiden rahoitus'!$G182:$I182)</f>
        <v>28019403.32</v>
      </c>
      <c r="K182" s="499"/>
      <c r="L182" s="505">
        <v>12724608.436824143</v>
      </c>
      <c r="M182" s="458">
        <f>'TE25 Palveluiden rahoitus'!$J182*-0.5</f>
        <v>-14009701.66</v>
      </c>
      <c r="N182" s="458">
        <f t="shared" si="6"/>
        <v>-1285093.2231758572</v>
      </c>
      <c r="O182" s="510">
        <f t="shared" si="7"/>
        <v>26734310.096824143</v>
      </c>
      <c r="P182" s="474"/>
      <c r="Q182" s="514">
        <v>-2116058.4500000002</v>
      </c>
    </row>
    <row r="183" spans="1:17" ht="12.75">
      <c r="A183" s="474">
        <v>576</v>
      </c>
      <c r="B183" s="474" t="s">
        <v>183</v>
      </c>
      <c r="C183" s="459">
        <v>1234</v>
      </c>
      <c r="D183" s="459">
        <v>155</v>
      </c>
      <c r="E183" s="459">
        <v>80</v>
      </c>
      <c r="G183" s="493">
        <f>Taulukko3[[#This Row],[Väestö, 18-64-vuotiaat (2023)]]*Taulukko4[Perushinnat, €]</f>
        <v>118476.34000000001</v>
      </c>
      <c r="H183" s="461">
        <f>Taulukko3[[#This Row],[Työttömät ja palveluissa olevat (2023)]]*Taulukko4[[ ]]</f>
        <v>130909.90000000001</v>
      </c>
      <c r="I183" s="461">
        <f>Taulukko3[[#This Row],[Vieraskieliset (2023)]]*Taulukko4[[  ]]</f>
        <v>4740</v>
      </c>
      <c r="J183" s="494">
        <f>SUM('TE25 Palveluiden rahoitus'!$G183:$I183)</f>
        <v>254126.24000000002</v>
      </c>
      <c r="K183" s="499"/>
      <c r="L183" s="505">
        <v>133964.07226533728</v>
      </c>
      <c r="M183" s="458">
        <f>'TE25 Palveluiden rahoitus'!$J183*-0.5</f>
        <v>-127063.12000000001</v>
      </c>
      <c r="N183" s="458">
        <f t="shared" si="6"/>
        <v>6900.9522653372696</v>
      </c>
      <c r="O183" s="510">
        <f t="shared" si="7"/>
        <v>261027.19226533733</v>
      </c>
      <c r="P183" s="474"/>
      <c r="Q183" s="514">
        <v>-19386.14</v>
      </c>
    </row>
    <row r="184" spans="1:17" ht="12.75">
      <c r="A184" s="474">
        <v>577</v>
      </c>
      <c r="B184" s="474" t="s">
        <v>184</v>
      </c>
      <c r="C184" s="459">
        <v>6151</v>
      </c>
      <c r="D184" s="459">
        <v>445</v>
      </c>
      <c r="E184" s="459">
        <v>525</v>
      </c>
      <c r="G184" s="493">
        <f>Taulukko3[[#This Row],[Väestö, 18-64-vuotiaat (2023)]]*Taulukko4[Perushinnat, €]</f>
        <v>590557.51</v>
      </c>
      <c r="H184" s="461">
        <f>Taulukko3[[#This Row],[Työttömät ja palveluissa olevat (2023)]]*Taulukko4[[ ]]</f>
        <v>375838.10000000003</v>
      </c>
      <c r="I184" s="461">
        <f>Taulukko3[[#This Row],[Vieraskieliset (2023)]]*Taulukko4[[  ]]</f>
        <v>31106.25</v>
      </c>
      <c r="J184" s="494">
        <f>SUM('TE25 Palveluiden rahoitus'!$G184:$I184)</f>
        <v>997501.8600000001</v>
      </c>
      <c r="K184" s="499"/>
      <c r="L184" s="505">
        <v>367487.27153732994</v>
      </c>
      <c r="M184" s="458">
        <f>'TE25 Palveluiden rahoitus'!$J184*-0.5</f>
        <v>-498750.93000000005</v>
      </c>
      <c r="N184" s="458">
        <f t="shared" si="6"/>
        <v>-131263.65846267011</v>
      </c>
      <c r="O184" s="510">
        <f t="shared" si="7"/>
        <v>866238.20153733005</v>
      </c>
      <c r="P184" s="474"/>
      <c r="Q184" s="514">
        <v>-96632.21</v>
      </c>
    </row>
    <row r="185" spans="1:17" ht="12.75">
      <c r="A185" s="474">
        <v>578</v>
      </c>
      <c r="B185" s="474" t="s">
        <v>185</v>
      </c>
      <c r="C185" s="459">
        <v>1477</v>
      </c>
      <c r="D185" s="459">
        <v>186</v>
      </c>
      <c r="E185" s="459">
        <v>53</v>
      </c>
      <c r="G185" s="493">
        <f>Taulukko3[[#This Row],[Väestö, 18-64-vuotiaat (2023)]]*Taulukko4[Perushinnat, €]</f>
        <v>141806.77000000002</v>
      </c>
      <c r="H185" s="461">
        <f>Taulukko3[[#This Row],[Työttömät ja palveluissa olevat (2023)]]*Taulukko4[[ ]]</f>
        <v>157091.88</v>
      </c>
      <c r="I185" s="461">
        <f>Taulukko3[[#This Row],[Vieraskieliset (2023)]]*Taulukko4[[  ]]</f>
        <v>3140.25</v>
      </c>
      <c r="J185" s="494">
        <f>SUM('TE25 Palveluiden rahoitus'!$G185:$I185)</f>
        <v>302038.90000000002</v>
      </c>
      <c r="K185" s="499"/>
      <c r="L185" s="505">
        <v>223860.11675085477</v>
      </c>
      <c r="M185" s="458">
        <f>'TE25 Palveluiden rahoitus'!$J185*-0.5</f>
        <v>-151019.45000000001</v>
      </c>
      <c r="N185" s="458">
        <f t="shared" si="6"/>
        <v>72840.666750854754</v>
      </c>
      <c r="O185" s="510">
        <f t="shared" si="7"/>
        <v>374879.56675085478</v>
      </c>
      <c r="P185" s="474"/>
      <c r="Q185" s="514">
        <v>-23203.670000000002</v>
      </c>
    </row>
    <row r="186" spans="1:17" ht="12.75">
      <c r="A186" s="474">
        <v>580</v>
      </c>
      <c r="B186" s="474" t="s">
        <v>186</v>
      </c>
      <c r="C186" s="459">
        <v>1975</v>
      </c>
      <c r="D186" s="459">
        <v>224</v>
      </c>
      <c r="E186" s="459">
        <v>137</v>
      </c>
      <c r="G186" s="493">
        <f>Taulukko3[[#This Row],[Väestö, 18-64-vuotiaat (2023)]]*Taulukko4[Perushinnat, €]</f>
        <v>189619.75</v>
      </c>
      <c r="H186" s="461">
        <f>Taulukko3[[#This Row],[Työttömät ja palveluissa olevat (2023)]]*Taulukko4[[ ]]</f>
        <v>189185.92000000001</v>
      </c>
      <c r="I186" s="461">
        <f>Taulukko3[[#This Row],[Vieraskieliset (2023)]]*Taulukko4[[  ]]</f>
        <v>8117.25</v>
      </c>
      <c r="J186" s="494">
        <f>SUM('TE25 Palveluiden rahoitus'!$G186:$I186)</f>
        <v>386922.92000000004</v>
      </c>
      <c r="K186" s="499"/>
      <c r="L186" s="505">
        <v>182955.89707087641</v>
      </c>
      <c r="M186" s="458">
        <f>'TE25 Palveluiden rahoitus'!$J186*-0.5</f>
        <v>-193461.46000000002</v>
      </c>
      <c r="N186" s="458">
        <f t="shared" si="6"/>
        <v>-10505.562929123611</v>
      </c>
      <c r="O186" s="510">
        <f t="shared" si="7"/>
        <v>376417.35707087646</v>
      </c>
      <c r="P186" s="474"/>
      <c r="Q186" s="514">
        <v>-31027.25</v>
      </c>
    </row>
    <row r="187" spans="1:17" ht="12.75">
      <c r="A187" s="474">
        <v>581</v>
      </c>
      <c r="B187" s="474" t="s">
        <v>187</v>
      </c>
      <c r="C187" s="459">
        <v>2982</v>
      </c>
      <c r="D187" s="459">
        <v>400</v>
      </c>
      <c r="E187" s="459">
        <v>186</v>
      </c>
      <c r="G187" s="493">
        <f>Taulukko3[[#This Row],[Väestö, 18-64-vuotiaat (2023)]]*Taulukko4[Perushinnat, €]</f>
        <v>286301.82</v>
      </c>
      <c r="H187" s="461">
        <f>Taulukko3[[#This Row],[Työttömät ja palveluissa olevat (2023)]]*Taulukko4[[ ]]</f>
        <v>337832</v>
      </c>
      <c r="I187" s="461">
        <f>Taulukko3[[#This Row],[Vieraskieliset (2023)]]*Taulukko4[[  ]]</f>
        <v>11020.5</v>
      </c>
      <c r="J187" s="494">
        <f>SUM('TE25 Palveluiden rahoitus'!$G187:$I187)</f>
        <v>635154.32000000007</v>
      </c>
      <c r="K187" s="499"/>
      <c r="L187" s="505">
        <v>380901.33270108368</v>
      </c>
      <c r="M187" s="458">
        <f>'TE25 Palveluiden rahoitus'!$J187*-0.5</f>
        <v>-317577.16000000003</v>
      </c>
      <c r="N187" s="458">
        <f t="shared" si="6"/>
        <v>63324.172701083648</v>
      </c>
      <c r="O187" s="510">
        <f t="shared" si="7"/>
        <v>698478.49270108377</v>
      </c>
      <c r="P187" s="474"/>
      <c r="Q187" s="514">
        <v>-46847.22</v>
      </c>
    </row>
    <row r="188" spans="1:17" ht="12.75">
      <c r="A188" s="474">
        <v>583</v>
      </c>
      <c r="B188" s="474" t="s">
        <v>188</v>
      </c>
      <c r="C188" s="459">
        <v>467</v>
      </c>
      <c r="D188" s="459">
        <v>59</v>
      </c>
      <c r="E188" s="459">
        <v>18</v>
      </c>
      <c r="G188" s="493">
        <f>Taulukko3[[#This Row],[Väestö, 18-64-vuotiaat (2023)]]*Taulukko4[Perushinnat, €]</f>
        <v>44836.670000000006</v>
      </c>
      <c r="H188" s="461">
        <f>Taulukko3[[#This Row],[Työttömät ja palveluissa olevat (2023)]]*Taulukko4[[ ]]</f>
        <v>49830.22</v>
      </c>
      <c r="I188" s="461">
        <f>Taulukko3[[#This Row],[Vieraskieliset (2023)]]*Taulukko4[[  ]]</f>
        <v>1066.5</v>
      </c>
      <c r="J188" s="494">
        <f>SUM('TE25 Palveluiden rahoitus'!$G188:$I188)</f>
        <v>95733.390000000014</v>
      </c>
      <c r="K188" s="499"/>
      <c r="L188" s="505">
        <v>78029.340499666592</v>
      </c>
      <c r="M188" s="458">
        <f>'TE25 Palveluiden rahoitus'!$J188*-0.5</f>
        <v>-47866.695000000007</v>
      </c>
      <c r="N188" s="458">
        <f t="shared" si="6"/>
        <v>30162.645499666585</v>
      </c>
      <c r="O188" s="510">
        <f t="shared" si="7"/>
        <v>125896.03549966658</v>
      </c>
      <c r="P188" s="474"/>
      <c r="Q188" s="514">
        <v>-7336.5700000000006</v>
      </c>
    </row>
    <row r="189" spans="1:17" ht="12.75">
      <c r="A189" s="474">
        <v>584</v>
      </c>
      <c r="B189" s="474" t="s">
        <v>189</v>
      </c>
      <c r="C189" s="459">
        <v>1143</v>
      </c>
      <c r="D189" s="459">
        <v>126</v>
      </c>
      <c r="E189" s="459">
        <v>27</v>
      </c>
      <c r="G189" s="493">
        <f>Taulukko3[[#This Row],[Väestö, 18-64-vuotiaat (2023)]]*Taulukko4[Perushinnat, €]</f>
        <v>109739.43000000001</v>
      </c>
      <c r="H189" s="461">
        <f>Taulukko3[[#This Row],[Työttömät ja palveluissa olevat (2023)]]*Taulukko4[[ ]]</f>
        <v>106417.08</v>
      </c>
      <c r="I189" s="461">
        <f>Taulukko3[[#This Row],[Vieraskieliset (2023)]]*Taulukko4[[  ]]</f>
        <v>1599.75</v>
      </c>
      <c r="J189" s="494">
        <f>SUM('TE25 Palveluiden rahoitus'!$G189:$I189)</f>
        <v>217756.26</v>
      </c>
      <c r="K189" s="499"/>
      <c r="L189" s="505">
        <v>97648.406986340604</v>
      </c>
      <c r="M189" s="458">
        <f>'TE25 Palveluiden rahoitus'!$J189*-0.5</f>
        <v>-108878.13</v>
      </c>
      <c r="N189" s="458">
        <f t="shared" si="6"/>
        <v>-11229.723013659401</v>
      </c>
      <c r="O189" s="510">
        <f t="shared" si="7"/>
        <v>206526.53698634059</v>
      </c>
      <c r="P189" s="474"/>
      <c r="Q189" s="514">
        <v>-17956.530000000002</v>
      </c>
    </row>
    <row r="190" spans="1:17" ht="12.75">
      <c r="A190" s="474">
        <v>588</v>
      </c>
      <c r="B190" s="474" t="s">
        <v>190</v>
      </c>
      <c r="C190" s="459">
        <v>751</v>
      </c>
      <c r="D190" s="459">
        <v>91</v>
      </c>
      <c r="E190" s="459">
        <v>58</v>
      </c>
      <c r="G190" s="493">
        <f>Taulukko3[[#This Row],[Väestö, 18-64-vuotiaat (2023)]]*Taulukko4[Perushinnat, €]</f>
        <v>72103.510000000009</v>
      </c>
      <c r="H190" s="461">
        <f>Taulukko3[[#This Row],[Työttömät ja palveluissa olevat (2023)]]*Taulukko4[[ ]]</f>
        <v>76856.78</v>
      </c>
      <c r="I190" s="461">
        <f>Taulukko3[[#This Row],[Vieraskieliset (2023)]]*Taulukko4[[  ]]</f>
        <v>3436.5</v>
      </c>
      <c r="J190" s="494">
        <f>SUM('TE25 Palveluiden rahoitus'!$G190:$I190)</f>
        <v>152396.79</v>
      </c>
      <c r="K190" s="499"/>
      <c r="L190" s="505">
        <v>110273.98668951158</v>
      </c>
      <c r="M190" s="458">
        <f>'TE25 Palveluiden rahoitus'!$J190*-0.5</f>
        <v>-76198.395000000004</v>
      </c>
      <c r="N190" s="458">
        <f t="shared" si="6"/>
        <v>34075.591689511581</v>
      </c>
      <c r="O190" s="510">
        <f t="shared" si="7"/>
        <v>186472.38168951159</v>
      </c>
      <c r="P190" s="474"/>
      <c r="Q190" s="514">
        <v>-11798.210000000001</v>
      </c>
    </row>
    <row r="191" spans="1:17" ht="12.75">
      <c r="A191" s="474">
        <v>592</v>
      </c>
      <c r="B191" s="474" t="s">
        <v>191</v>
      </c>
      <c r="C191" s="459">
        <v>1896</v>
      </c>
      <c r="D191" s="459">
        <v>231</v>
      </c>
      <c r="E191" s="459">
        <v>61</v>
      </c>
      <c r="G191" s="493">
        <f>Taulukko3[[#This Row],[Väestö, 18-64-vuotiaat (2023)]]*Taulukko4[Perushinnat, €]</f>
        <v>182034.96000000002</v>
      </c>
      <c r="H191" s="461">
        <f>Taulukko3[[#This Row],[Työttömät ja palveluissa olevat (2023)]]*Taulukko4[[ ]]</f>
        <v>195097.98</v>
      </c>
      <c r="I191" s="461">
        <f>Taulukko3[[#This Row],[Vieraskieliset (2023)]]*Taulukko4[[  ]]</f>
        <v>3614.25</v>
      </c>
      <c r="J191" s="494">
        <f>SUM('TE25 Palveluiden rahoitus'!$G191:$I191)</f>
        <v>380747.19000000006</v>
      </c>
      <c r="K191" s="499"/>
      <c r="L191" s="505">
        <v>195274.11973466148</v>
      </c>
      <c r="M191" s="458">
        <f>'TE25 Palveluiden rahoitus'!$J191*-0.5</f>
        <v>-190373.59500000003</v>
      </c>
      <c r="N191" s="458">
        <f t="shared" si="6"/>
        <v>4900.5247346614487</v>
      </c>
      <c r="O191" s="510">
        <f t="shared" si="7"/>
        <v>385647.71473466157</v>
      </c>
      <c r="P191" s="474"/>
      <c r="Q191" s="514">
        <v>-29786.16</v>
      </c>
    </row>
    <row r="192" spans="1:17" ht="12.75">
      <c r="A192" s="474">
        <v>593</v>
      </c>
      <c r="B192" s="474" t="s">
        <v>192</v>
      </c>
      <c r="C192" s="459">
        <v>8627</v>
      </c>
      <c r="D192" s="459">
        <v>1038</v>
      </c>
      <c r="E192" s="459">
        <v>820</v>
      </c>
      <c r="G192" s="493">
        <f>Taulukko3[[#This Row],[Väestö, 18-64-vuotiaat (2023)]]*Taulukko4[Perushinnat, €]</f>
        <v>828278.27</v>
      </c>
      <c r="H192" s="461">
        <f>Taulukko3[[#This Row],[Työttömät ja palveluissa olevat (2023)]]*Taulukko4[[ ]]</f>
        <v>876674.04</v>
      </c>
      <c r="I192" s="461">
        <f>Taulukko3[[#This Row],[Vieraskieliset (2023)]]*Taulukko4[[  ]]</f>
        <v>48585</v>
      </c>
      <c r="J192" s="494">
        <f>SUM('TE25 Palveluiden rahoitus'!$G192:$I192)</f>
        <v>1753537.31</v>
      </c>
      <c r="K192" s="499"/>
      <c r="L192" s="505">
        <v>1016522.1008871567</v>
      </c>
      <c r="M192" s="458">
        <f>'TE25 Palveluiden rahoitus'!$J192*-0.5</f>
        <v>-876768.65500000003</v>
      </c>
      <c r="N192" s="458">
        <f t="shared" si="6"/>
        <v>139753.44588715665</v>
      </c>
      <c r="O192" s="510">
        <f t="shared" si="7"/>
        <v>1893290.7558871566</v>
      </c>
      <c r="P192" s="474"/>
      <c r="Q192" s="514">
        <v>-135530.17000000001</v>
      </c>
    </row>
    <row r="193" spans="1:17" ht="12.75">
      <c r="A193" s="474">
        <v>595</v>
      </c>
      <c r="B193" s="474" t="s">
        <v>193</v>
      </c>
      <c r="C193" s="459">
        <v>1816</v>
      </c>
      <c r="D193" s="459">
        <v>187</v>
      </c>
      <c r="E193" s="459">
        <v>80</v>
      </c>
      <c r="G193" s="493">
        <f>Taulukko3[[#This Row],[Väestö, 18-64-vuotiaat (2023)]]*Taulukko4[Perushinnat, €]</f>
        <v>174354.16</v>
      </c>
      <c r="H193" s="461">
        <f>Taulukko3[[#This Row],[Työttömät ja palveluissa olevat (2023)]]*Taulukko4[[ ]]</f>
        <v>157936.46000000002</v>
      </c>
      <c r="I193" s="461">
        <f>Taulukko3[[#This Row],[Vieraskieliset (2023)]]*Taulukko4[[  ]]</f>
        <v>4740</v>
      </c>
      <c r="J193" s="494">
        <f>SUM('TE25 Palveluiden rahoitus'!$G193:$I193)</f>
        <v>337030.62</v>
      </c>
      <c r="K193" s="499"/>
      <c r="L193" s="505">
        <v>212452.97209660016</v>
      </c>
      <c r="M193" s="458">
        <f>'TE25 Palveluiden rahoitus'!$J193*-0.5</f>
        <v>-168515.31</v>
      </c>
      <c r="N193" s="458">
        <f t="shared" si="6"/>
        <v>43937.662096600165</v>
      </c>
      <c r="O193" s="510">
        <f t="shared" si="7"/>
        <v>380968.28209660022</v>
      </c>
      <c r="P193" s="474"/>
      <c r="Q193" s="514">
        <v>-28529.360000000001</v>
      </c>
    </row>
    <row r="194" spans="1:17" ht="12.75">
      <c r="A194" s="474">
        <v>598</v>
      </c>
      <c r="B194" s="474" t="s">
        <v>194</v>
      </c>
      <c r="C194" s="459">
        <v>10809</v>
      </c>
      <c r="D194" s="459">
        <v>1184</v>
      </c>
      <c r="E194" s="459">
        <v>2855</v>
      </c>
      <c r="G194" s="493">
        <f>Taulukko3[[#This Row],[Väestö, 18-64-vuotiaat (2023)]]*Taulukko4[Perushinnat, €]</f>
        <v>1037772.0900000001</v>
      </c>
      <c r="H194" s="461">
        <f>Taulukko3[[#This Row],[Työttömät ja palveluissa olevat (2023)]]*Taulukko4[[ ]]</f>
        <v>999982.72000000009</v>
      </c>
      <c r="I194" s="461">
        <f>Taulukko3[[#This Row],[Vieraskieliset (2023)]]*Taulukko4[[  ]]</f>
        <v>169158.75</v>
      </c>
      <c r="J194" s="494">
        <f>SUM('TE25 Palveluiden rahoitus'!$G194:$I194)</f>
        <v>2206913.56</v>
      </c>
      <c r="K194" s="499"/>
      <c r="L194" s="505">
        <v>1160229.7724515982</v>
      </c>
      <c r="M194" s="458">
        <f>'TE25 Palveluiden rahoitus'!$J194*-0.5</f>
        <v>-1103456.78</v>
      </c>
      <c r="N194" s="458">
        <f t="shared" si="6"/>
        <v>56772.992451598169</v>
      </c>
      <c r="O194" s="510">
        <f t="shared" si="7"/>
        <v>2263686.5524515985</v>
      </c>
      <c r="P194" s="474"/>
      <c r="Q194" s="514">
        <v>-169809.39</v>
      </c>
    </row>
    <row r="195" spans="1:17" ht="12.75">
      <c r="A195" s="474">
        <v>599</v>
      </c>
      <c r="B195" s="474" t="s">
        <v>195</v>
      </c>
      <c r="C195" s="459">
        <v>5971</v>
      </c>
      <c r="D195" s="459">
        <v>203</v>
      </c>
      <c r="E195" s="459">
        <v>397</v>
      </c>
      <c r="G195" s="493">
        <f>Taulukko3[[#This Row],[Väestö, 18-64-vuotiaat (2023)]]*Taulukko4[Perushinnat, €]</f>
        <v>573275.71000000008</v>
      </c>
      <c r="H195" s="461">
        <f>Taulukko3[[#This Row],[Työttömät ja palveluissa olevat (2023)]]*Taulukko4[[ ]]</f>
        <v>171449.74000000002</v>
      </c>
      <c r="I195" s="461">
        <f>Taulukko3[[#This Row],[Vieraskieliset (2023)]]*Taulukko4[[  ]]</f>
        <v>23522.25</v>
      </c>
      <c r="J195" s="494">
        <f>SUM('TE25 Palveluiden rahoitus'!$G195:$I195)</f>
        <v>768247.70000000007</v>
      </c>
      <c r="K195" s="499"/>
      <c r="L195" s="505">
        <v>254888.32339557429</v>
      </c>
      <c r="M195" s="458">
        <f>'TE25 Palveluiden rahoitus'!$J195*-0.5</f>
        <v>-384123.85000000003</v>
      </c>
      <c r="N195" s="458">
        <f t="shared" si="6"/>
        <v>-129235.52660442574</v>
      </c>
      <c r="O195" s="510">
        <f t="shared" si="7"/>
        <v>639012.17339557433</v>
      </c>
      <c r="P195" s="474"/>
      <c r="Q195" s="514">
        <v>-93804.41</v>
      </c>
    </row>
    <row r="196" spans="1:17" ht="12.75">
      <c r="A196" s="474">
        <v>601</v>
      </c>
      <c r="B196" s="474" t="s">
        <v>196</v>
      </c>
      <c r="C196" s="459">
        <v>1795</v>
      </c>
      <c r="D196" s="459">
        <v>243</v>
      </c>
      <c r="E196" s="459">
        <v>55</v>
      </c>
      <c r="G196" s="493">
        <f>Taulukko3[[#This Row],[Väestö, 18-64-vuotiaat (2023)]]*Taulukko4[Perushinnat, €]</f>
        <v>172337.95</v>
      </c>
      <c r="H196" s="461">
        <f>Taulukko3[[#This Row],[Työttömät ja palveluissa olevat (2023)]]*Taulukko4[[ ]]</f>
        <v>205232.94</v>
      </c>
      <c r="I196" s="461">
        <f>Taulukko3[[#This Row],[Vieraskieliset (2023)]]*Taulukko4[[  ]]</f>
        <v>3258.75</v>
      </c>
      <c r="J196" s="494">
        <f>SUM('TE25 Palveluiden rahoitus'!$G196:$I196)</f>
        <v>380829.64</v>
      </c>
      <c r="K196" s="499"/>
      <c r="L196" s="505">
        <v>341010.43964359094</v>
      </c>
      <c r="M196" s="458">
        <f>'TE25 Palveluiden rahoitus'!$J196*-0.5</f>
        <v>-190414.82</v>
      </c>
      <c r="N196" s="458">
        <f t="shared" si="6"/>
        <v>150595.61964359094</v>
      </c>
      <c r="O196" s="510">
        <f t="shared" si="7"/>
        <v>531425.25964359101</v>
      </c>
      <c r="P196" s="474"/>
      <c r="Q196" s="514">
        <v>-28199.45</v>
      </c>
    </row>
    <row r="197" spans="1:17" ht="12.75">
      <c r="A197" s="474">
        <v>604</v>
      </c>
      <c r="B197" s="474" t="s">
        <v>197</v>
      </c>
      <c r="C197" s="459">
        <v>12206</v>
      </c>
      <c r="D197" s="459">
        <v>994</v>
      </c>
      <c r="E197" s="459">
        <v>964</v>
      </c>
      <c r="G197" s="493">
        <f>Taulukko3[[#This Row],[Väestö, 18-64-vuotiaat (2023)]]*Taulukko4[Perushinnat, €]</f>
        <v>1171898.06</v>
      </c>
      <c r="H197" s="461">
        <f>Taulukko3[[#This Row],[Työttömät ja palveluissa olevat (2023)]]*Taulukko4[[ ]]</f>
        <v>839512.52</v>
      </c>
      <c r="I197" s="461">
        <f>Taulukko3[[#This Row],[Vieraskieliset (2023)]]*Taulukko4[[  ]]</f>
        <v>57117</v>
      </c>
      <c r="J197" s="494">
        <f>SUM('TE25 Palveluiden rahoitus'!$G197:$I197)</f>
        <v>2068527.58</v>
      </c>
      <c r="K197" s="499"/>
      <c r="L197" s="505">
        <v>765968.79388989194</v>
      </c>
      <c r="M197" s="458">
        <f>'TE25 Palveluiden rahoitus'!$J197*-0.5</f>
        <v>-1034263.79</v>
      </c>
      <c r="N197" s="458">
        <f t="shared" si="6"/>
        <v>-268294.9961101081</v>
      </c>
      <c r="O197" s="510">
        <f t="shared" si="7"/>
        <v>1800232.5838898919</v>
      </c>
      <c r="P197" s="474"/>
      <c r="Q197" s="514">
        <v>-191756.26</v>
      </c>
    </row>
    <row r="198" spans="1:17" ht="12.75">
      <c r="A198" s="474">
        <v>607</v>
      </c>
      <c r="B198" s="474" t="s">
        <v>198</v>
      </c>
      <c r="C198" s="459">
        <v>1928</v>
      </c>
      <c r="D198" s="459">
        <v>278</v>
      </c>
      <c r="E198" s="459">
        <v>63</v>
      </c>
      <c r="G198" s="493">
        <f>Taulukko3[[#This Row],[Väestö, 18-64-vuotiaat (2023)]]*Taulukko4[Perushinnat, €]</f>
        <v>185107.28</v>
      </c>
      <c r="H198" s="461">
        <f>Taulukko3[[#This Row],[Työttömät ja palveluissa olevat (2023)]]*Taulukko4[[ ]]</f>
        <v>234793.24000000002</v>
      </c>
      <c r="I198" s="461">
        <f>Taulukko3[[#This Row],[Vieraskieliset (2023)]]*Taulukko4[[  ]]</f>
        <v>3732.75</v>
      </c>
      <c r="J198" s="494">
        <f>SUM('TE25 Palveluiden rahoitus'!$G198:$I198)</f>
        <v>423633.27</v>
      </c>
      <c r="K198" s="499"/>
      <c r="L198" s="505">
        <v>325146.8097094702</v>
      </c>
      <c r="M198" s="458">
        <f>'TE25 Palveluiden rahoitus'!$J198*-0.5</f>
        <v>-211816.63500000001</v>
      </c>
      <c r="N198" s="458">
        <f t="shared" si="6"/>
        <v>113330.17470947019</v>
      </c>
      <c r="O198" s="510">
        <f t="shared" si="7"/>
        <v>536963.44470947026</v>
      </c>
      <c r="P198" s="474"/>
      <c r="Q198" s="514">
        <v>-30288.880000000001</v>
      </c>
    </row>
    <row r="199" spans="1:17" ht="12.75">
      <c r="A199" s="474">
        <v>608</v>
      </c>
      <c r="B199" s="474" t="s">
        <v>199</v>
      </c>
      <c r="C199" s="459">
        <v>950</v>
      </c>
      <c r="D199" s="459">
        <v>88</v>
      </c>
      <c r="E199" s="459">
        <v>30</v>
      </c>
      <c r="G199" s="493">
        <f>Taulukko3[[#This Row],[Väestö, 18-64-vuotiaat (2023)]]*Taulukko4[Perushinnat, €]</f>
        <v>91209.5</v>
      </c>
      <c r="H199" s="461">
        <f>Taulukko3[[#This Row],[Työttömät ja palveluissa olevat (2023)]]*Taulukko4[[ ]]</f>
        <v>74323.040000000008</v>
      </c>
      <c r="I199" s="461">
        <f>Taulukko3[[#This Row],[Vieraskieliset (2023)]]*Taulukko4[[  ]]</f>
        <v>1777.5</v>
      </c>
      <c r="J199" s="494">
        <f>SUM('TE25 Palveluiden rahoitus'!$G199:$I199)</f>
        <v>167310.04</v>
      </c>
      <c r="K199" s="499"/>
      <c r="L199" s="505">
        <v>85066.28881142498</v>
      </c>
      <c r="M199" s="458">
        <f>'TE25 Palveluiden rahoitus'!$J199*-0.5</f>
        <v>-83655.02</v>
      </c>
      <c r="N199" s="458">
        <f t="shared" si="6"/>
        <v>1411.2688114249759</v>
      </c>
      <c r="O199" s="510">
        <f t="shared" si="7"/>
        <v>168721.308811425</v>
      </c>
      <c r="P199" s="474"/>
      <c r="Q199" s="514">
        <v>-14924.5</v>
      </c>
    </row>
    <row r="200" spans="1:17" ht="12.75">
      <c r="A200" s="474">
        <v>609</v>
      </c>
      <c r="B200" s="474" t="s">
        <v>200</v>
      </c>
      <c r="C200" s="459">
        <v>46902</v>
      </c>
      <c r="D200" s="459">
        <v>6223</v>
      </c>
      <c r="E200" s="459">
        <v>4282</v>
      </c>
      <c r="G200" s="493">
        <f>Taulukko3[[#This Row],[Väestö, 18-64-vuotiaat (2023)]]*Taulukko4[Perushinnat, €]</f>
        <v>4503061.0200000005</v>
      </c>
      <c r="H200" s="461">
        <f>Taulukko3[[#This Row],[Työttömät ja palveluissa olevat (2023)]]*Taulukko4[[ ]]</f>
        <v>5255821.34</v>
      </c>
      <c r="I200" s="461">
        <f>Taulukko3[[#This Row],[Vieraskieliset (2023)]]*Taulukko4[[  ]]</f>
        <v>253708.5</v>
      </c>
      <c r="J200" s="494">
        <f>SUM('TE25 Palveluiden rahoitus'!$G200:$I200)</f>
        <v>10012590.859999999</v>
      </c>
      <c r="K200" s="499"/>
      <c r="L200" s="505">
        <v>5713095.2476245044</v>
      </c>
      <c r="M200" s="458">
        <f>'TE25 Palveluiden rahoitus'!$J200*-0.5</f>
        <v>-5006295.43</v>
      </c>
      <c r="N200" s="458">
        <f t="shared" si="6"/>
        <v>706799.81762450468</v>
      </c>
      <c r="O200" s="510">
        <f t="shared" si="7"/>
        <v>10719390.677624505</v>
      </c>
      <c r="P200" s="474"/>
      <c r="Q200" s="514">
        <v>-736830.42</v>
      </c>
    </row>
    <row r="201" spans="1:17" ht="12.75">
      <c r="A201" s="474">
        <v>611</v>
      </c>
      <c r="B201" s="474" t="s">
        <v>201</v>
      </c>
      <c r="C201" s="459">
        <v>2914</v>
      </c>
      <c r="D201" s="459">
        <v>213</v>
      </c>
      <c r="E201" s="459">
        <v>190</v>
      </c>
      <c r="G201" s="493">
        <f>Taulukko3[[#This Row],[Väestö, 18-64-vuotiaat (2023)]]*Taulukko4[Perushinnat, €]</f>
        <v>279773.14</v>
      </c>
      <c r="H201" s="461">
        <f>Taulukko3[[#This Row],[Työttömät ja palveluissa olevat (2023)]]*Taulukko4[[ ]]</f>
        <v>179895.54</v>
      </c>
      <c r="I201" s="461">
        <f>Taulukko3[[#This Row],[Vieraskieliset (2023)]]*Taulukko4[[  ]]</f>
        <v>11257.5</v>
      </c>
      <c r="J201" s="494">
        <f>SUM('TE25 Palveluiden rahoitus'!$G201:$I201)</f>
        <v>470926.18000000005</v>
      </c>
      <c r="K201" s="499"/>
      <c r="L201" s="505">
        <v>118297.66020998417</v>
      </c>
      <c r="M201" s="458">
        <f>'TE25 Palveluiden rahoitus'!$J201*-0.5</f>
        <v>-235463.09000000003</v>
      </c>
      <c r="N201" s="458">
        <f t="shared" si="6"/>
        <v>-117165.42979001586</v>
      </c>
      <c r="O201" s="510">
        <f t="shared" si="7"/>
        <v>353760.75020998419</v>
      </c>
      <c r="P201" s="474"/>
      <c r="Q201" s="514">
        <v>-45778.94</v>
      </c>
    </row>
    <row r="202" spans="1:17" ht="12.75">
      <c r="A202" s="474">
        <v>614</v>
      </c>
      <c r="B202" s="474" t="s">
        <v>202</v>
      </c>
      <c r="C202" s="459">
        <v>1370</v>
      </c>
      <c r="D202" s="459">
        <v>217</v>
      </c>
      <c r="E202" s="459">
        <v>65</v>
      </c>
      <c r="G202" s="493">
        <f>Taulukko3[[#This Row],[Väestö, 18-64-vuotiaat (2023)]]*Taulukko4[Perushinnat, €]</f>
        <v>131533.70000000001</v>
      </c>
      <c r="H202" s="461">
        <f>Taulukko3[[#This Row],[Työttömät ja palveluissa olevat (2023)]]*Taulukko4[[ ]]</f>
        <v>183273.86000000002</v>
      </c>
      <c r="I202" s="461">
        <f>Taulukko3[[#This Row],[Vieraskieliset (2023)]]*Taulukko4[[  ]]</f>
        <v>3851.25</v>
      </c>
      <c r="J202" s="494">
        <f>SUM('TE25 Palveluiden rahoitus'!$G202:$I202)</f>
        <v>318658.81000000006</v>
      </c>
      <c r="K202" s="499"/>
      <c r="L202" s="505">
        <v>319204.15790906694</v>
      </c>
      <c r="M202" s="458">
        <f>'TE25 Palveluiden rahoitus'!$J202*-0.5</f>
        <v>-159329.40500000003</v>
      </c>
      <c r="N202" s="458">
        <f t="shared" si="6"/>
        <v>159874.75290906691</v>
      </c>
      <c r="O202" s="510">
        <f t="shared" si="7"/>
        <v>478533.56290906691</v>
      </c>
      <c r="P202" s="474"/>
      <c r="Q202" s="514">
        <v>-21522.7</v>
      </c>
    </row>
    <row r="203" spans="1:17" ht="12.75">
      <c r="A203" s="474">
        <v>615</v>
      </c>
      <c r="B203" s="474" t="s">
        <v>203</v>
      </c>
      <c r="C203" s="459">
        <v>3506</v>
      </c>
      <c r="D203" s="459">
        <v>603</v>
      </c>
      <c r="E203" s="459">
        <v>211</v>
      </c>
      <c r="G203" s="493">
        <f>Taulukko3[[#This Row],[Väestö, 18-64-vuotiaat (2023)]]*Taulukko4[Perushinnat, €]</f>
        <v>336611.06</v>
      </c>
      <c r="H203" s="461">
        <f>Taulukko3[[#This Row],[Työttömät ja palveluissa olevat (2023)]]*Taulukko4[[ ]]</f>
        <v>509281.74000000005</v>
      </c>
      <c r="I203" s="461">
        <f>Taulukko3[[#This Row],[Vieraskieliset (2023)]]*Taulukko4[[  ]]</f>
        <v>12501.75</v>
      </c>
      <c r="J203" s="494">
        <f>SUM('TE25 Palveluiden rahoitus'!$G203:$I203)</f>
        <v>858394.55</v>
      </c>
      <c r="K203" s="499"/>
      <c r="L203" s="505">
        <v>531797.57344206818</v>
      </c>
      <c r="M203" s="458">
        <f>'TE25 Palveluiden rahoitus'!$J203*-0.5</f>
        <v>-429197.27500000002</v>
      </c>
      <c r="N203" s="458">
        <f t="shared" si="6"/>
        <v>102600.29844206816</v>
      </c>
      <c r="O203" s="510">
        <f t="shared" si="7"/>
        <v>960994.84844206821</v>
      </c>
      <c r="P203" s="474"/>
      <c r="Q203" s="514">
        <v>-55079.26</v>
      </c>
    </row>
    <row r="204" spans="1:17" ht="12.75">
      <c r="A204" s="474">
        <v>616</v>
      </c>
      <c r="B204" s="474" t="s">
        <v>204</v>
      </c>
      <c r="C204" s="459">
        <v>1036</v>
      </c>
      <c r="D204" s="459">
        <v>91</v>
      </c>
      <c r="E204" s="459">
        <v>60</v>
      </c>
      <c r="G204" s="493">
        <f>Taulukko3[[#This Row],[Väestö, 18-64-vuotiaat (2023)]]*Taulukko4[Perushinnat, €]</f>
        <v>99466.36</v>
      </c>
      <c r="H204" s="461">
        <f>Taulukko3[[#This Row],[Työttömät ja palveluissa olevat (2023)]]*Taulukko4[[ ]]</f>
        <v>76856.78</v>
      </c>
      <c r="I204" s="461">
        <f>Taulukko3[[#This Row],[Vieraskieliset (2023)]]*Taulukko4[[  ]]</f>
        <v>3555</v>
      </c>
      <c r="J204" s="494">
        <f>SUM('TE25 Palveluiden rahoitus'!$G204:$I204)</f>
        <v>179878.14</v>
      </c>
      <c r="K204" s="499"/>
      <c r="L204" s="505">
        <v>84100.852490769306</v>
      </c>
      <c r="M204" s="458">
        <f>'TE25 Palveluiden rahoitus'!$J204*-0.5</f>
        <v>-89939.07</v>
      </c>
      <c r="N204" s="458">
        <f t="shared" si="6"/>
        <v>-5838.2175092307007</v>
      </c>
      <c r="O204" s="510">
        <f t="shared" si="7"/>
        <v>174039.9224907693</v>
      </c>
      <c r="P204" s="474"/>
      <c r="Q204" s="514">
        <v>-16275.560000000001</v>
      </c>
    </row>
    <row r="205" spans="1:17" ht="12.75">
      <c r="A205" s="474">
        <v>619</v>
      </c>
      <c r="B205" s="474" t="s">
        <v>205</v>
      </c>
      <c r="C205" s="459">
        <v>1265</v>
      </c>
      <c r="D205" s="459">
        <v>122</v>
      </c>
      <c r="E205" s="459">
        <v>85</v>
      </c>
      <c r="G205" s="493">
        <f>Taulukko3[[#This Row],[Väestö, 18-64-vuotiaat (2023)]]*Taulukko4[Perushinnat, €]</f>
        <v>121452.65000000001</v>
      </c>
      <c r="H205" s="461">
        <f>Taulukko3[[#This Row],[Työttömät ja palveluissa olevat (2023)]]*Taulukko4[[ ]]</f>
        <v>103038.76000000001</v>
      </c>
      <c r="I205" s="461">
        <f>Taulukko3[[#This Row],[Vieraskieliset (2023)]]*Taulukko4[[  ]]</f>
        <v>5036.25</v>
      </c>
      <c r="J205" s="494">
        <f>SUM('TE25 Palveluiden rahoitus'!$G205:$I205)</f>
        <v>229527.66000000003</v>
      </c>
      <c r="K205" s="499"/>
      <c r="L205" s="505">
        <v>116271.75291558485</v>
      </c>
      <c r="M205" s="458">
        <f>'TE25 Palveluiden rahoitus'!$J205*-0.5</f>
        <v>-114763.83000000002</v>
      </c>
      <c r="N205" s="458">
        <f t="shared" ref="N205:N268" si="8">L205+M205</f>
        <v>1507.9229155848298</v>
      </c>
      <c r="O205" s="510">
        <f t="shared" ref="O205:O268" si="9">J205+L205+M205</f>
        <v>231035.58291558485</v>
      </c>
      <c r="P205" s="474"/>
      <c r="Q205" s="514">
        <v>-19873.150000000001</v>
      </c>
    </row>
    <row r="206" spans="1:17" ht="12.75">
      <c r="A206" s="474">
        <v>620</v>
      </c>
      <c r="B206" s="474" t="s">
        <v>206</v>
      </c>
      <c r="C206" s="459">
        <v>1077</v>
      </c>
      <c r="D206" s="459">
        <v>215</v>
      </c>
      <c r="E206" s="459">
        <v>60</v>
      </c>
      <c r="G206" s="493">
        <f>Taulukko3[[#This Row],[Väestö, 18-64-vuotiaat (2023)]]*Taulukko4[Perushinnat, €]</f>
        <v>103402.77</v>
      </c>
      <c r="H206" s="461">
        <f>Taulukko3[[#This Row],[Työttömät ja palveluissa olevat (2023)]]*Taulukko4[[ ]]</f>
        <v>181584.7</v>
      </c>
      <c r="I206" s="461">
        <f>Taulukko3[[#This Row],[Vieraskieliset (2023)]]*Taulukko4[[  ]]</f>
        <v>3555</v>
      </c>
      <c r="J206" s="494">
        <f>SUM('TE25 Palveluiden rahoitus'!$G206:$I206)</f>
        <v>288542.47000000003</v>
      </c>
      <c r="K206" s="499"/>
      <c r="L206" s="505">
        <v>230408.70840826328</v>
      </c>
      <c r="M206" s="458">
        <f>'TE25 Palveluiden rahoitus'!$J206*-0.5</f>
        <v>-144271.23500000002</v>
      </c>
      <c r="N206" s="458">
        <f t="shared" si="8"/>
        <v>86137.473408263264</v>
      </c>
      <c r="O206" s="510">
        <f t="shared" si="9"/>
        <v>374679.94340826327</v>
      </c>
      <c r="P206" s="474"/>
      <c r="Q206" s="514">
        <v>-16919.670000000002</v>
      </c>
    </row>
    <row r="207" spans="1:17" ht="12.75">
      <c r="A207" s="474">
        <v>623</v>
      </c>
      <c r="B207" s="474" t="s">
        <v>207</v>
      </c>
      <c r="C207" s="459">
        <v>957</v>
      </c>
      <c r="D207" s="459">
        <v>90</v>
      </c>
      <c r="E207" s="459">
        <v>62</v>
      </c>
      <c r="G207" s="493">
        <f>Taulukko3[[#This Row],[Väestö, 18-64-vuotiaat (2023)]]*Taulukko4[Perushinnat, €]</f>
        <v>91881.57</v>
      </c>
      <c r="H207" s="461">
        <f>Taulukko3[[#This Row],[Työttömät ja palveluissa olevat (2023)]]*Taulukko4[[ ]]</f>
        <v>76012.2</v>
      </c>
      <c r="I207" s="461">
        <f>Taulukko3[[#This Row],[Vieraskieliset (2023)]]*Taulukko4[[  ]]</f>
        <v>3673.5</v>
      </c>
      <c r="J207" s="494">
        <f>SUM('TE25 Palveluiden rahoitus'!$G207:$I207)</f>
        <v>171567.27000000002</v>
      </c>
      <c r="K207" s="499"/>
      <c r="L207" s="505">
        <v>74744.20285875503</v>
      </c>
      <c r="M207" s="458">
        <f>'TE25 Palveluiden rahoitus'!$J207*-0.5</f>
        <v>-85783.635000000009</v>
      </c>
      <c r="N207" s="458">
        <f t="shared" si="8"/>
        <v>-11039.432141244979</v>
      </c>
      <c r="O207" s="510">
        <f t="shared" si="9"/>
        <v>160527.83785875503</v>
      </c>
      <c r="P207" s="474"/>
      <c r="Q207" s="514">
        <v>-15034.470000000001</v>
      </c>
    </row>
    <row r="208" spans="1:17" ht="12.75">
      <c r="A208" s="474">
        <v>624</v>
      </c>
      <c r="B208" s="474" t="s">
        <v>208</v>
      </c>
      <c r="C208" s="459">
        <v>2711</v>
      </c>
      <c r="D208" s="459">
        <v>275</v>
      </c>
      <c r="E208" s="459">
        <v>248</v>
      </c>
      <c r="G208" s="493">
        <f>Taulukko3[[#This Row],[Väestö, 18-64-vuotiaat (2023)]]*Taulukko4[Perushinnat, €]</f>
        <v>260283.11000000002</v>
      </c>
      <c r="H208" s="461">
        <f>Taulukko3[[#This Row],[Työttömät ja palveluissa olevat (2023)]]*Taulukko4[[ ]]</f>
        <v>232259.5</v>
      </c>
      <c r="I208" s="461">
        <f>Taulukko3[[#This Row],[Vieraskieliset (2023)]]*Taulukko4[[  ]]</f>
        <v>14694</v>
      </c>
      <c r="J208" s="494">
        <f>SUM('TE25 Palveluiden rahoitus'!$G208:$I208)</f>
        <v>507236.61</v>
      </c>
      <c r="K208" s="499"/>
      <c r="L208" s="505">
        <v>234955.4436721229</v>
      </c>
      <c r="M208" s="458">
        <f>'TE25 Palveluiden rahoitus'!$J208*-0.5</f>
        <v>-253618.30499999999</v>
      </c>
      <c r="N208" s="458">
        <f t="shared" si="8"/>
        <v>-18662.861327877094</v>
      </c>
      <c r="O208" s="510">
        <f t="shared" si="9"/>
        <v>488573.74867212289</v>
      </c>
      <c r="P208" s="474"/>
      <c r="Q208" s="514">
        <v>-42589.810000000005</v>
      </c>
    </row>
    <row r="209" spans="1:17" ht="12.75">
      <c r="A209" s="474">
        <v>625</v>
      </c>
      <c r="B209" s="474" t="s">
        <v>209</v>
      </c>
      <c r="C209" s="459">
        <v>1480</v>
      </c>
      <c r="D209" s="459">
        <v>170</v>
      </c>
      <c r="E209" s="459">
        <v>129</v>
      </c>
      <c r="G209" s="493">
        <f>Taulukko3[[#This Row],[Väestö, 18-64-vuotiaat (2023)]]*Taulukko4[Perushinnat, €]</f>
        <v>142094.80000000002</v>
      </c>
      <c r="H209" s="461">
        <f>Taulukko3[[#This Row],[Työttömät ja palveluissa olevat (2023)]]*Taulukko4[[ ]]</f>
        <v>143578.6</v>
      </c>
      <c r="I209" s="461">
        <f>Taulukko3[[#This Row],[Vieraskieliset (2023)]]*Taulukko4[[  ]]</f>
        <v>7643.25</v>
      </c>
      <c r="J209" s="494">
        <f>SUM('TE25 Palveluiden rahoitus'!$G209:$I209)</f>
        <v>293316.65000000002</v>
      </c>
      <c r="K209" s="499"/>
      <c r="L209" s="505">
        <v>139033.09772270199</v>
      </c>
      <c r="M209" s="458">
        <f>'TE25 Palveluiden rahoitus'!$J209*-0.5</f>
        <v>-146658.32500000001</v>
      </c>
      <c r="N209" s="458">
        <f t="shared" si="8"/>
        <v>-7625.2272772980214</v>
      </c>
      <c r="O209" s="510">
        <f t="shared" si="9"/>
        <v>285691.42272270197</v>
      </c>
      <c r="P209" s="474"/>
      <c r="Q209" s="514">
        <v>-23250.800000000003</v>
      </c>
    </row>
    <row r="210" spans="1:17" ht="12.75">
      <c r="A210" s="474">
        <v>626</v>
      </c>
      <c r="B210" s="474" t="s">
        <v>210</v>
      </c>
      <c r="C210" s="459">
        <v>2181</v>
      </c>
      <c r="D210" s="459">
        <v>318</v>
      </c>
      <c r="E210" s="459">
        <v>113</v>
      </c>
      <c r="G210" s="493">
        <f>Taulukko3[[#This Row],[Väestö, 18-64-vuotiaat (2023)]]*Taulukko4[Perushinnat, €]</f>
        <v>209397.81</v>
      </c>
      <c r="H210" s="461">
        <f>Taulukko3[[#This Row],[Työttömät ja palveluissa olevat (2023)]]*Taulukko4[[ ]]</f>
        <v>268576.44</v>
      </c>
      <c r="I210" s="461">
        <f>Taulukko3[[#This Row],[Vieraskieliset (2023)]]*Taulukko4[[  ]]</f>
        <v>6695.25</v>
      </c>
      <c r="J210" s="494">
        <f>SUM('TE25 Palveluiden rahoitus'!$G210:$I210)</f>
        <v>484669.5</v>
      </c>
      <c r="K210" s="499"/>
      <c r="L210" s="505">
        <v>288426.5164430986</v>
      </c>
      <c r="M210" s="458">
        <f>'TE25 Palveluiden rahoitus'!$J210*-0.5</f>
        <v>-242334.75</v>
      </c>
      <c r="N210" s="458">
        <f t="shared" si="8"/>
        <v>46091.766443098604</v>
      </c>
      <c r="O210" s="510">
        <f t="shared" si="9"/>
        <v>530761.26644309866</v>
      </c>
      <c r="P210" s="474"/>
      <c r="Q210" s="514">
        <v>-34263.51</v>
      </c>
    </row>
    <row r="211" spans="1:17" ht="12.75">
      <c r="A211" s="474">
        <v>630</v>
      </c>
      <c r="B211" s="474" t="s">
        <v>211</v>
      </c>
      <c r="C211" s="459">
        <v>807</v>
      </c>
      <c r="D211" s="459">
        <v>87</v>
      </c>
      <c r="E211" s="459">
        <v>121</v>
      </c>
      <c r="G211" s="493">
        <f>Taulukko3[[#This Row],[Väestö, 18-64-vuotiaat (2023)]]*Taulukko4[Perushinnat, €]</f>
        <v>77480.070000000007</v>
      </c>
      <c r="H211" s="461">
        <f>Taulukko3[[#This Row],[Työttömät ja palveluissa olevat (2023)]]*Taulukko4[[ ]]</f>
        <v>73478.460000000006</v>
      </c>
      <c r="I211" s="461">
        <f>Taulukko3[[#This Row],[Vieraskieliset (2023)]]*Taulukko4[[  ]]</f>
        <v>7169.25</v>
      </c>
      <c r="J211" s="494">
        <f>SUM('TE25 Palveluiden rahoitus'!$G211:$I211)</f>
        <v>158127.78000000003</v>
      </c>
      <c r="K211" s="499"/>
      <c r="L211" s="505">
        <v>44264.547121255644</v>
      </c>
      <c r="M211" s="458">
        <f>'TE25 Palveluiden rahoitus'!$J211*-0.5</f>
        <v>-79063.890000000014</v>
      </c>
      <c r="N211" s="458">
        <f t="shared" si="8"/>
        <v>-34799.34287874437</v>
      </c>
      <c r="O211" s="510">
        <f t="shared" si="9"/>
        <v>123328.43712125567</v>
      </c>
      <c r="P211" s="474"/>
      <c r="Q211" s="514">
        <v>-12677.970000000001</v>
      </c>
    </row>
    <row r="212" spans="1:17" ht="12.75">
      <c r="A212" s="474">
        <v>631</v>
      </c>
      <c r="B212" s="474" t="s">
        <v>212</v>
      </c>
      <c r="C212" s="459">
        <v>1000</v>
      </c>
      <c r="D212" s="459">
        <v>99</v>
      </c>
      <c r="E212" s="459">
        <v>59</v>
      </c>
      <c r="G212" s="493">
        <f>Taulukko3[[#This Row],[Väestö, 18-64-vuotiaat (2023)]]*Taulukko4[Perushinnat, €]</f>
        <v>96010</v>
      </c>
      <c r="H212" s="461">
        <f>Taulukko3[[#This Row],[Työttömät ja palveluissa olevat (2023)]]*Taulukko4[[ ]]</f>
        <v>83613.42</v>
      </c>
      <c r="I212" s="461">
        <f>Taulukko3[[#This Row],[Vieraskieliset (2023)]]*Taulukko4[[  ]]</f>
        <v>3495.75</v>
      </c>
      <c r="J212" s="494">
        <f>SUM('TE25 Palveluiden rahoitus'!$G212:$I212)</f>
        <v>183119.16999999998</v>
      </c>
      <c r="K212" s="499"/>
      <c r="L212" s="505">
        <v>65151.324316809048</v>
      </c>
      <c r="M212" s="458">
        <f>'TE25 Palveluiden rahoitus'!$J212*-0.5</f>
        <v>-91559.584999999992</v>
      </c>
      <c r="N212" s="458">
        <f t="shared" si="8"/>
        <v>-26408.260683190943</v>
      </c>
      <c r="O212" s="510">
        <f t="shared" si="9"/>
        <v>156710.90931680903</v>
      </c>
      <c r="P212" s="474"/>
      <c r="Q212" s="514">
        <v>-15710</v>
      </c>
    </row>
    <row r="213" spans="1:17" ht="12.75">
      <c r="A213" s="474">
        <v>635</v>
      </c>
      <c r="B213" s="474" t="s">
        <v>213</v>
      </c>
      <c r="C213" s="459">
        <v>3301</v>
      </c>
      <c r="D213" s="459">
        <v>292</v>
      </c>
      <c r="E213" s="459">
        <v>249</v>
      </c>
      <c r="G213" s="493">
        <f>Taulukko3[[#This Row],[Väestö, 18-64-vuotiaat (2023)]]*Taulukko4[Perushinnat, €]</f>
        <v>316929.01</v>
      </c>
      <c r="H213" s="461">
        <f>Taulukko3[[#This Row],[Työttömät ja palveluissa olevat (2023)]]*Taulukko4[[ ]]</f>
        <v>246617.36000000002</v>
      </c>
      <c r="I213" s="461">
        <f>Taulukko3[[#This Row],[Vieraskieliset (2023)]]*Taulukko4[[  ]]</f>
        <v>14753.25</v>
      </c>
      <c r="J213" s="494">
        <f>SUM('TE25 Palveluiden rahoitus'!$G213:$I213)</f>
        <v>578299.62</v>
      </c>
      <c r="K213" s="499"/>
      <c r="L213" s="505">
        <v>255145.35298886694</v>
      </c>
      <c r="M213" s="458">
        <f>'TE25 Palveluiden rahoitus'!$J213*-0.5</f>
        <v>-289149.81</v>
      </c>
      <c r="N213" s="458">
        <f t="shared" si="8"/>
        <v>-34004.457011133054</v>
      </c>
      <c r="O213" s="510">
        <f t="shared" si="9"/>
        <v>544295.16298886691</v>
      </c>
      <c r="P213" s="474"/>
      <c r="Q213" s="514">
        <v>-51858.710000000006</v>
      </c>
    </row>
    <row r="214" spans="1:17" ht="12.75">
      <c r="A214" s="474">
        <v>636</v>
      </c>
      <c r="B214" s="474" t="s">
        <v>214</v>
      </c>
      <c r="C214" s="459">
        <v>4283</v>
      </c>
      <c r="D214" s="459">
        <v>398</v>
      </c>
      <c r="E214" s="459">
        <v>422</v>
      </c>
      <c r="G214" s="493">
        <f>Taulukko3[[#This Row],[Väestö, 18-64-vuotiaat (2023)]]*Taulukko4[Perushinnat, €]</f>
        <v>411210.83</v>
      </c>
      <c r="H214" s="461">
        <f>Taulukko3[[#This Row],[Työttömät ja palveluissa olevat (2023)]]*Taulukko4[[ ]]</f>
        <v>336142.84</v>
      </c>
      <c r="I214" s="461">
        <f>Taulukko3[[#This Row],[Vieraskieliset (2023)]]*Taulukko4[[  ]]</f>
        <v>25003.5</v>
      </c>
      <c r="J214" s="494">
        <f>SUM('TE25 Palveluiden rahoitus'!$G214:$I214)</f>
        <v>772357.17</v>
      </c>
      <c r="K214" s="499"/>
      <c r="L214" s="505">
        <v>361050.97912638099</v>
      </c>
      <c r="M214" s="458">
        <f>'TE25 Palveluiden rahoitus'!$J214*-0.5</f>
        <v>-386178.58500000002</v>
      </c>
      <c r="N214" s="458">
        <f t="shared" si="8"/>
        <v>-25127.605873619032</v>
      </c>
      <c r="O214" s="510">
        <f t="shared" si="9"/>
        <v>747229.56412638118</v>
      </c>
      <c r="P214" s="474"/>
      <c r="Q214" s="514">
        <v>-67285.930000000008</v>
      </c>
    </row>
    <row r="215" spans="1:17" ht="12.75">
      <c r="A215" s="474">
        <v>638</v>
      </c>
      <c r="B215" s="474" t="s">
        <v>215</v>
      </c>
      <c r="C215" s="459">
        <v>29370</v>
      </c>
      <c r="D215" s="459">
        <v>3076</v>
      </c>
      <c r="E215" s="459">
        <v>4352</v>
      </c>
      <c r="G215" s="493">
        <f>Taulukko3[[#This Row],[Väestö, 18-64-vuotiaat (2023)]]*Taulukko4[Perushinnat, €]</f>
        <v>2819813.7</v>
      </c>
      <c r="H215" s="461">
        <f>Taulukko3[[#This Row],[Työttömät ja palveluissa olevat (2023)]]*Taulukko4[[ ]]</f>
        <v>2597928.08</v>
      </c>
      <c r="I215" s="461">
        <f>Taulukko3[[#This Row],[Vieraskieliset (2023)]]*Taulukko4[[  ]]</f>
        <v>257856</v>
      </c>
      <c r="J215" s="494">
        <f>SUM('TE25 Palveluiden rahoitus'!$G215:$I215)</f>
        <v>5675597.7800000003</v>
      </c>
      <c r="K215" s="499"/>
      <c r="L215" s="505">
        <v>2368787.6622357792</v>
      </c>
      <c r="M215" s="458">
        <f>'TE25 Palveluiden rahoitus'!$J215*-0.5</f>
        <v>-2837798.89</v>
      </c>
      <c r="N215" s="458">
        <f t="shared" si="8"/>
        <v>-469011.22776422091</v>
      </c>
      <c r="O215" s="510">
        <f t="shared" si="9"/>
        <v>5206586.5522357784</v>
      </c>
      <c r="P215" s="474"/>
      <c r="Q215" s="514">
        <v>-461402.7</v>
      </c>
    </row>
    <row r="216" spans="1:17" ht="12.75">
      <c r="A216" s="474">
        <v>678</v>
      </c>
      <c r="B216" s="474" t="s">
        <v>216</v>
      </c>
      <c r="C216" s="459">
        <v>12233</v>
      </c>
      <c r="D216" s="459">
        <v>1710</v>
      </c>
      <c r="E216" s="459">
        <v>940</v>
      </c>
      <c r="G216" s="493">
        <f>Taulukko3[[#This Row],[Väestö, 18-64-vuotiaat (2023)]]*Taulukko4[Perushinnat, €]</f>
        <v>1174490.33</v>
      </c>
      <c r="H216" s="461">
        <f>Taulukko3[[#This Row],[Työttömät ja palveluissa olevat (2023)]]*Taulukko4[[ ]]</f>
        <v>1444231.8</v>
      </c>
      <c r="I216" s="461">
        <f>Taulukko3[[#This Row],[Vieraskieliset (2023)]]*Taulukko4[[  ]]</f>
        <v>55695</v>
      </c>
      <c r="J216" s="494">
        <f>SUM('TE25 Palveluiden rahoitus'!$G216:$I216)</f>
        <v>2674417.13</v>
      </c>
      <c r="K216" s="499"/>
      <c r="L216" s="505">
        <v>1268323.2182467615</v>
      </c>
      <c r="M216" s="458">
        <f>'TE25 Palveluiden rahoitus'!$J216*-0.5</f>
        <v>-1337208.5649999999</v>
      </c>
      <c r="N216" s="458">
        <f t="shared" si="8"/>
        <v>-68885.346753238467</v>
      </c>
      <c r="O216" s="510">
        <f t="shared" si="9"/>
        <v>2605531.7832467617</v>
      </c>
      <c r="P216" s="474"/>
      <c r="Q216" s="514">
        <v>-192180.43000000002</v>
      </c>
    </row>
    <row r="217" spans="1:17" ht="12.75">
      <c r="A217" s="474">
        <v>680</v>
      </c>
      <c r="B217" s="474" t="s">
        <v>217</v>
      </c>
      <c r="C217" s="459">
        <v>14608</v>
      </c>
      <c r="D217" s="459">
        <v>1451</v>
      </c>
      <c r="E217" s="459">
        <v>3051</v>
      </c>
      <c r="G217" s="493">
        <f>Taulukko3[[#This Row],[Väestö, 18-64-vuotiaat (2023)]]*Taulukko4[Perushinnat, €]</f>
        <v>1402514.08</v>
      </c>
      <c r="H217" s="461">
        <f>Taulukko3[[#This Row],[Työttömät ja palveluissa olevat (2023)]]*Taulukko4[[ ]]</f>
        <v>1225485.58</v>
      </c>
      <c r="I217" s="461">
        <f>Taulukko3[[#This Row],[Vieraskieliset (2023)]]*Taulukko4[[  ]]</f>
        <v>180771.75</v>
      </c>
      <c r="J217" s="494">
        <f>SUM('TE25 Palveluiden rahoitus'!$G217:$I217)</f>
        <v>2808771.41</v>
      </c>
      <c r="K217" s="499"/>
      <c r="L217" s="505">
        <v>1154387.0741891379</v>
      </c>
      <c r="M217" s="458">
        <f>'TE25 Palveluiden rahoitus'!$J217*-0.5</f>
        <v>-1404385.7050000001</v>
      </c>
      <c r="N217" s="458">
        <f t="shared" si="8"/>
        <v>-249998.63081086217</v>
      </c>
      <c r="O217" s="510">
        <f t="shared" si="9"/>
        <v>2558772.7791891377</v>
      </c>
      <c r="P217" s="474"/>
      <c r="Q217" s="514">
        <v>-229491.68000000002</v>
      </c>
    </row>
    <row r="218" spans="1:17" ht="12.75">
      <c r="A218" s="474">
        <v>681</v>
      </c>
      <c r="B218" s="474" t="s">
        <v>218</v>
      </c>
      <c r="C218" s="459">
        <v>1612</v>
      </c>
      <c r="D218" s="459">
        <v>162</v>
      </c>
      <c r="E218" s="459">
        <v>188</v>
      </c>
      <c r="G218" s="493">
        <f>Taulukko3[[#This Row],[Väestö, 18-64-vuotiaat (2023)]]*Taulukko4[Perushinnat, €]</f>
        <v>154768.12</v>
      </c>
      <c r="H218" s="461">
        <f>Taulukko3[[#This Row],[Työttömät ja palveluissa olevat (2023)]]*Taulukko4[[ ]]</f>
        <v>136821.96000000002</v>
      </c>
      <c r="I218" s="461">
        <f>Taulukko3[[#This Row],[Vieraskieliset (2023)]]*Taulukko4[[  ]]</f>
        <v>11139</v>
      </c>
      <c r="J218" s="494">
        <f>SUM('TE25 Palveluiden rahoitus'!$G218:$I218)</f>
        <v>302729.08</v>
      </c>
      <c r="K218" s="499"/>
      <c r="L218" s="505">
        <v>204949.50640352548</v>
      </c>
      <c r="M218" s="458">
        <f>'TE25 Palveluiden rahoitus'!$J218*-0.5</f>
        <v>-151364.54</v>
      </c>
      <c r="N218" s="458">
        <f t="shared" si="8"/>
        <v>53584.966403525468</v>
      </c>
      <c r="O218" s="510">
        <f t="shared" si="9"/>
        <v>356314.04640352551</v>
      </c>
      <c r="P218" s="474"/>
      <c r="Q218" s="514">
        <v>-25324.52</v>
      </c>
    </row>
    <row r="219" spans="1:17" ht="12.75">
      <c r="A219" s="474">
        <v>683</v>
      </c>
      <c r="B219" s="474" t="s">
        <v>219</v>
      </c>
      <c r="C219" s="459">
        <v>1683</v>
      </c>
      <c r="D219" s="459">
        <v>198</v>
      </c>
      <c r="E219" s="459">
        <v>62</v>
      </c>
      <c r="G219" s="493">
        <f>Taulukko3[[#This Row],[Väestö, 18-64-vuotiaat (2023)]]*Taulukko4[Perushinnat, €]</f>
        <v>161584.83000000002</v>
      </c>
      <c r="H219" s="461">
        <f>Taulukko3[[#This Row],[Työttömät ja palveluissa olevat (2023)]]*Taulukko4[[ ]]</f>
        <v>167226.84</v>
      </c>
      <c r="I219" s="461">
        <f>Taulukko3[[#This Row],[Vieraskieliset (2023)]]*Taulukko4[[  ]]</f>
        <v>3673.5</v>
      </c>
      <c r="J219" s="494">
        <f>SUM('TE25 Palveluiden rahoitus'!$G219:$I219)</f>
        <v>332485.17000000004</v>
      </c>
      <c r="K219" s="499"/>
      <c r="L219" s="505">
        <v>254753.98446530732</v>
      </c>
      <c r="M219" s="458">
        <f>'TE25 Palveluiden rahoitus'!$J219*-0.5</f>
        <v>-166242.58500000002</v>
      </c>
      <c r="N219" s="458">
        <f t="shared" si="8"/>
        <v>88511.399465307302</v>
      </c>
      <c r="O219" s="510">
        <f t="shared" si="9"/>
        <v>420996.56946530734</v>
      </c>
      <c r="P219" s="474"/>
      <c r="Q219" s="514">
        <v>-26439.93</v>
      </c>
    </row>
    <row r="220" spans="1:17" ht="12.75">
      <c r="A220" s="474">
        <v>684</v>
      </c>
      <c r="B220" s="474" t="s">
        <v>220</v>
      </c>
      <c r="C220" s="459">
        <v>21739</v>
      </c>
      <c r="D220" s="459">
        <v>2276</v>
      </c>
      <c r="E220" s="459">
        <v>3335</v>
      </c>
      <c r="G220" s="493">
        <f>Taulukko3[[#This Row],[Väestö, 18-64-vuotiaat (2023)]]*Taulukko4[Perushinnat, €]</f>
        <v>2087161.3900000001</v>
      </c>
      <c r="H220" s="461">
        <f>Taulukko3[[#This Row],[Työttömät ja palveluissa olevat (2023)]]*Taulukko4[[ ]]</f>
        <v>1922264.08</v>
      </c>
      <c r="I220" s="461">
        <f>Taulukko3[[#This Row],[Vieraskieliset (2023)]]*Taulukko4[[  ]]</f>
        <v>197598.75</v>
      </c>
      <c r="J220" s="494">
        <f>SUM('TE25 Palveluiden rahoitus'!$G220:$I220)</f>
        <v>4207024.2200000007</v>
      </c>
      <c r="K220" s="499"/>
      <c r="L220" s="505">
        <v>2140007.9854263314</v>
      </c>
      <c r="M220" s="458">
        <f>'TE25 Palveluiden rahoitus'!$J220*-0.5</f>
        <v>-2103512.1100000003</v>
      </c>
      <c r="N220" s="458">
        <f t="shared" si="8"/>
        <v>36495.875426331069</v>
      </c>
      <c r="O220" s="510">
        <f t="shared" si="9"/>
        <v>4243520.0954263313</v>
      </c>
      <c r="P220" s="474"/>
      <c r="Q220" s="514">
        <v>-341519.69</v>
      </c>
    </row>
    <row r="221" spans="1:17" ht="12.75">
      <c r="A221" s="474">
        <v>686</v>
      </c>
      <c r="B221" s="474" t="s">
        <v>221</v>
      </c>
      <c r="C221" s="459">
        <v>1424</v>
      </c>
      <c r="D221" s="459">
        <v>151</v>
      </c>
      <c r="E221" s="459">
        <v>104</v>
      </c>
      <c r="G221" s="493">
        <f>Taulukko3[[#This Row],[Väestö, 18-64-vuotiaat (2023)]]*Taulukko4[Perushinnat, €]</f>
        <v>136718.24000000002</v>
      </c>
      <c r="H221" s="461">
        <f>Taulukko3[[#This Row],[Työttömät ja palveluissa olevat (2023)]]*Taulukko4[[ ]]</f>
        <v>127531.58</v>
      </c>
      <c r="I221" s="461">
        <f>Taulukko3[[#This Row],[Vieraskieliset (2023)]]*Taulukko4[[  ]]</f>
        <v>6162</v>
      </c>
      <c r="J221" s="494">
        <f>SUM('TE25 Palveluiden rahoitus'!$G221:$I221)</f>
        <v>270411.82</v>
      </c>
      <c r="K221" s="499"/>
      <c r="L221" s="505">
        <v>164873.71965074286</v>
      </c>
      <c r="M221" s="458">
        <f>'TE25 Palveluiden rahoitus'!$J221*-0.5</f>
        <v>-135205.91</v>
      </c>
      <c r="N221" s="458">
        <f t="shared" si="8"/>
        <v>29667.809650742856</v>
      </c>
      <c r="O221" s="510">
        <f t="shared" si="9"/>
        <v>300079.62965074286</v>
      </c>
      <c r="P221" s="474"/>
      <c r="Q221" s="514">
        <v>-22371.040000000001</v>
      </c>
    </row>
    <row r="222" spans="1:17" ht="12.75">
      <c r="A222" s="474">
        <v>687</v>
      </c>
      <c r="B222" s="474" t="s">
        <v>222</v>
      </c>
      <c r="C222" s="459">
        <v>656</v>
      </c>
      <c r="D222" s="459">
        <v>92</v>
      </c>
      <c r="E222" s="459">
        <v>22</v>
      </c>
      <c r="G222" s="493">
        <f>Taulukko3[[#This Row],[Väestö, 18-64-vuotiaat (2023)]]*Taulukko4[Perushinnat, €]</f>
        <v>62982.560000000005</v>
      </c>
      <c r="H222" s="461">
        <f>Taulukko3[[#This Row],[Työttömät ja palveluissa olevat (2023)]]*Taulukko4[[ ]]</f>
        <v>77701.36</v>
      </c>
      <c r="I222" s="461">
        <f>Taulukko3[[#This Row],[Vieraskieliset (2023)]]*Taulukko4[[  ]]</f>
        <v>1303.5</v>
      </c>
      <c r="J222" s="494">
        <f>SUM('TE25 Palveluiden rahoitus'!$G222:$I222)</f>
        <v>141987.42000000001</v>
      </c>
      <c r="K222" s="499"/>
      <c r="L222" s="505">
        <v>77963.155494472463</v>
      </c>
      <c r="M222" s="458">
        <f>'TE25 Palveluiden rahoitus'!$J222*-0.5</f>
        <v>-70993.710000000006</v>
      </c>
      <c r="N222" s="458">
        <f t="shared" si="8"/>
        <v>6969.4454944724566</v>
      </c>
      <c r="O222" s="510">
        <f t="shared" si="9"/>
        <v>148956.86549447244</v>
      </c>
      <c r="P222" s="474"/>
      <c r="Q222" s="514">
        <v>-10305.76</v>
      </c>
    </row>
    <row r="223" spans="1:17" ht="12.75">
      <c r="A223" s="474">
        <v>689</v>
      </c>
      <c r="B223" s="474" t="s">
        <v>223</v>
      </c>
      <c r="C223" s="459">
        <v>1411</v>
      </c>
      <c r="D223" s="459">
        <v>246</v>
      </c>
      <c r="E223" s="459">
        <v>135</v>
      </c>
      <c r="G223" s="493">
        <f>Taulukko3[[#This Row],[Väestö, 18-64-vuotiaat (2023)]]*Taulukko4[Perushinnat, €]</f>
        <v>135470.11000000002</v>
      </c>
      <c r="H223" s="461">
        <f>Taulukko3[[#This Row],[Työttömät ja palveluissa olevat (2023)]]*Taulukko4[[ ]]</f>
        <v>207766.68000000002</v>
      </c>
      <c r="I223" s="461">
        <f>Taulukko3[[#This Row],[Vieraskieliset (2023)]]*Taulukko4[[  ]]</f>
        <v>7998.75</v>
      </c>
      <c r="J223" s="494">
        <f>SUM('TE25 Palveluiden rahoitus'!$G223:$I223)</f>
        <v>351235.54000000004</v>
      </c>
      <c r="K223" s="499"/>
      <c r="L223" s="505">
        <v>227750.99687186108</v>
      </c>
      <c r="M223" s="458">
        <f>'TE25 Palveluiden rahoitus'!$J223*-0.5</f>
        <v>-175617.77000000002</v>
      </c>
      <c r="N223" s="458">
        <f t="shared" si="8"/>
        <v>52133.226871861058</v>
      </c>
      <c r="O223" s="510">
        <f t="shared" si="9"/>
        <v>403368.76687186107</v>
      </c>
      <c r="P223" s="474"/>
      <c r="Q223" s="514">
        <v>-22166.81</v>
      </c>
    </row>
    <row r="224" spans="1:17" ht="12.75">
      <c r="A224" s="474">
        <v>691</v>
      </c>
      <c r="B224" s="474" t="s">
        <v>224</v>
      </c>
      <c r="C224" s="459">
        <v>1263</v>
      </c>
      <c r="D224" s="459">
        <v>106</v>
      </c>
      <c r="E224" s="459">
        <v>13</v>
      </c>
      <c r="G224" s="493">
        <f>Taulukko3[[#This Row],[Väestö, 18-64-vuotiaat (2023)]]*Taulukko4[Perushinnat, €]</f>
        <v>121260.63</v>
      </c>
      <c r="H224" s="461">
        <f>Taulukko3[[#This Row],[Työttömät ja palveluissa olevat (2023)]]*Taulukko4[[ ]]</f>
        <v>89525.48000000001</v>
      </c>
      <c r="I224" s="461">
        <f>Taulukko3[[#This Row],[Vieraskieliset (2023)]]*Taulukko4[[  ]]</f>
        <v>770.25</v>
      </c>
      <c r="J224" s="494">
        <f>SUM('TE25 Palveluiden rahoitus'!$G224:$I224)</f>
        <v>211556.36000000002</v>
      </c>
      <c r="K224" s="499"/>
      <c r="L224" s="505">
        <v>75186.747643795577</v>
      </c>
      <c r="M224" s="458">
        <f>'TE25 Palveluiden rahoitus'!$J224*-0.5</f>
        <v>-105778.18000000001</v>
      </c>
      <c r="N224" s="458">
        <f t="shared" si="8"/>
        <v>-30591.43235620443</v>
      </c>
      <c r="O224" s="510">
        <f t="shared" si="9"/>
        <v>180964.92764379561</v>
      </c>
      <c r="P224" s="474"/>
      <c r="Q224" s="514">
        <v>-19841.73</v>
      </c>
    </row>
    <row r="225" spans="1:17" ht="12.75">
      <c r="A225" s="474">
        <v>694</v>
      </c>
      <c r="B225" s="474" t="s">
        <v>225</v>
      </c>
      <c r="C225" s="459">
        <v>16355</v>
      </c>
      <c r="D225" s="459">
        <v>1970</v>
      </c>
      <c r="E225" s="459">
        <v>1941</v>
      </c>
      <c r="G225" s="493">
        <f>Taulukko3[[#This Row],[Väestö, 18-64-vuotiaat (2023)]]*Taulukko4[Perushinnat, €]</f>
        <v>1570243.55</v>
      </c>
      <c r="H225" s="461">
        <f>Taulukko3[[#This Row],[Työttömät ja palveluissa olevat (2023)]]*Taulukko4[[ ]]</f>
        <v>1663822.6</v>
      </c>
      <c r="I225" s="461">
        <f>Taulukko3[[#This Row],[Vieraskieliset (2023)]]*Taulukko4[[  ]]</f>
        <v>115004.25</v>
      </c>
      <c r="J225" s="494">
        <f>SUM('TE25 Palveluiden rahoitus'!$G225:$I225)</f>
        <v>3349070.4000000004</v>
      </c>
      <c r="K225" s="499"/>
      <c r="L225" s="505">
        <v>1481673.1056773774</v>
      </c>
      <c r="M225" s="458">
        <f>'TE25 Palveluiden rahoitus'!$J225*-0.5</f>
        <v>-1674535.2000000002</v>
      </c>
      <c r="N225" s="458">
        <f t="shared" si="8"/>
        <v>-192862.09432262275</v>
      </c>
      <c r="O225" s="510">
        <f t="shared" si="9"/>
        <v>3156208.3056773776</v>
      </c>
      <c r="P225" s="474"/>
      <c r="Q225" s="514">
        <v>-256937.05000000002</v>
      </c>
    </row>
    <row r="226" spans="1:17" ht="12.75">
      <c r="A226" s="474">
        <v>697</v>
      </c>
      <c r="B226" s="474" t="s">
        <v>226</v>
      </c>
      <c r="C226" s="459">
        <v>529</v>
      </c>
      <c r="D226" s="459">
        <v>64</v>
      </c>
      <c r="E226" s="459">
        <v>23</v>
      </c>
      <c r="G226" s="493">
        <f>Taulukko3[[#This Row],[Väestö, 18-64-vuotiaat (2023)]]*Taulukko4[Perushinnat, €]</f>
        <v>50789.29</v>
      </c>
      <c r="H226" s="461">
        <f>Taulukko3[[#This Row],[Työttömät ja palveluissa olevat (2023)]]*Taulukko4[[ ]]</f>
        <v>54053.120000000003</v>
      </c>
      <c r="I226" s="461">
        <f>Taulukko3[[#This Row],[Vieraskieliset (2023)]]*Taulukko4[[  ]]</f>
        <v>1362.75</v>
      </c>
      <c r="J226" s="494">
        <f>SUM('TE25 Palveluiden rahoitus'!$G226:$I226)</f>
        <v>106205.16</v>
      </c>
      <c r="K226" s="499"/>
      <c r="L226" s="505">
        <v>152947.6069153666</v>
      </c>
      <c r="M226" s="458">
        <f>'TE25 Palveluiden rahoitus'!$J226*-0.5</f>
        <v>-53102.58</v>
      </c>
      <c r="N226" s="458">
        <f t="shared" si="8"/>
        <v>99845.026915366601</v>
      </c>
      <c r="O226" s="510">
        <f t="shared" si="9"/>
        <v>206050.18691536662</v>
      </c>
      <c r="P226" s="474"/>
      <c r="Q226" s="514">
        <v>-8310.59</v>
      </c>
    </row>
    <row r="227" spans="1:17" ht="12.75">
      <c r="A227" s="474">
        <v>698</v>
      </c>
      <c r="B227" s="474" t="s">
        <v>227</v>
      </c>
      <c r="C227" s="459">
        <v>39088</v>
      </c>
      <c r="D227" s="459">
        <v>4407</v>
      </c>
      <c r="E227" s="459">
        <v>3072</v>
      </c>
      <c r="G227" s="493">
        <f>Taulukko3[[#This Row],[Väestö, 18-64-vuotiaat (2023)]]*Taulukko4[Perushinnat, €]</f>
        <v>3752838.8800000004</v>
      </c>
      <c r="H227" s="461">
        <f>Taulukko3[[#This Row],[Työttömät ja palveluissa olevat (2023)]]*Taulukko4[[ ]]</f>
        <v>3722064.06</v>
      </c>
      <c r="I227" s="461">
        <f>Taulukko3[[#This Row],[Vieraskieliset (2023)]]*Taulukko4[[  ]]</f>
        <v>182016</v>
      </c>
      <c r="J227" s="494">
        <f>SUM('TE25 Palveluiden rahoitus'!$G227:$I227)</f>
        <v>7656918.9400000004</v>
      </c>
      <c r="K227" s="499"/>
      <c r="L227" s="505">
        <v>4840101.8741496392</v>
      </c>
      <c r="M227" s="458">
        <f>'TE25 Palveluiden rahoitus'!$J227*-0.5</f>
        <v>-3828459.47</v>
      </c>
      <c r="N227" s="458">
        <f t="shared" si="8"/>
        <v>1011642.404149639</v>
      </c>
      <c r="O227" s="510">
        <f t="shared" si="9"/>
        <v>8668561.3441496398</v>
      </c>
      <c r="P227" s="474"/>
      <c r="Q227" s="514">
        <v>-614072.48</v>
      </c>
    </row>
    <row r="228" spans="1:17" ht="12.75">
      <c r="A228" s="474">
        <v>700</v>
      </c>
      <c r="B228" s="474" t="s">
        <v>228</v>
      </c>
      <c r="C228" s="459">
        <v>2321</v>
      </c>
      <c r="D228" s="459">
        <v>275</v>
      </c>
      <c r="E228" s="459">
        <v>173</v>
      </c>
      <c r="G228" s="493">
        <f>Taulukko3[[#This Row],[Väestö, 18-64-vuotiaat (2023)]]*Taulukko4[Perushinnat, €]</f>
        <v>222839.21000000002</v>
      </c>
      <c r="H228" s="461">
        <f>Taulukko3[[#This Row],[Työttömät ja palveluissa olevat (2023)]]*Taulukko4[[ ]]</f>
        <v>232259.5</v>
      </c>
      <c r="I228" s="461">
        <f>Taulukko3[[#This Row],[Vieraskieliset (2023)]]*Taulukko4[[  ]]</f>
        <v>10250.25</v>
      </c>
      <c r="J228" s="494">
        <f>SUM('TE25 Palveluiden rahoitus'!$G228:$I228)</f>
        <v>465348.96</v>
      </c>
      <c r="K228" s="499"/>
      <c r="L228" s="505">
        <v>261150.79266559062</v>
      </c>
      <c r="M228" s="458">
        <f>'TE25 Palveluiden rahoitus'!$J228*-0.5</f>
        <v>-232674.48</v>
      </c>
      <c r="N228" s="458">
        <f t="shared" si="8"/>
        <v>28476.312665590609</v>
      </c>
      <c r="O228" s="510">
        <f t="shared" si="9"/>
        <v>493825.27266559063</v>
      </c>
      <c r="P228" s="474"/>
      <c r="Q228" s="514">
        <v>-36462.910000000003</v>
      </c>
    </row>
    <row r="229" spans="1:17" ht="12.75">
      <c r="A229" s="474">
        <v>702</v>
      </c>
      <c r="B229" s="474" t="s">
        <v>229</v>
      </c>
      <c r="C229" s="459">
        <v>1913</v>
      </c>
      <c r="D229" s="459">
        <v>262</v>
      </c>
      <c r="E229" s="459">
        <v>121</v>
      </c>
      <c r="G229" s="493">
        <f>Taulukko3[[#This Row],[Väestö, 18-64-vuotiaat (2023)]]*Taulukko4[Perushinnat, €]</f>
        <v>183667.13</v>
      </c>
      <c r="H229" s="461">
        <f>Taulukko3[[#This Row],[Työttömät ja palveluissa olevat (2023)]]*Taulukko4[[ ]]</f>
        <v>221279.96000000002</v>
      </c>
      <c r="I229" s="461">
        <f>Taulukko3[[#This Row],[Vieraskieliset (2023)]]*Taulukko4[[  ]]</f>
        <v>7169.25</v>
      </c>
      <c r="J229" s="494">
        <f>SUM('TE25 Palveluiden rahoitus'!$G229:$I229)</f>
        <v>412116.34</v>
      </c>
      <c r="K229" s="499"/>
      <c r="L229" s="505">
        <v>242218.52480323418</v>
      </c>
      <c r="M229" s="458">
        <f>'TE25 Palveluiden rahoitus'!$J229*-0.5</f>
        <v>-206058.17</v>
      </c>
      <c r="N229" s="458">
        <f t="shared" si="8"/>
        <v>36160.354803234164</v>
      </c>
      <c r="O229" s="510">
        <f t="shared" si="9"/>
        <v>448276.69480323419</v>
      </c>
      <c r="P229" s="474"/>
      <c r="Q229" s="514">
        <v>-30053.230000000003</v>
      </c>
    </row>
    <row r="230" spans="1:17" ht="12.75">
      <c r="A230" s="474">
        <v>704</v>
      </c>
      <c r="B230" s="474" t="s">
        <v>230</v>
      </c>
      <c r="C230" s="459">
        <v>3582</v>
      </c>
      <c r="D230" s="459">
        <v>189</v>
      </c>
      <c r="E230" s="459">
        <v>214</v>
      </c>
      <c r="G230" s="493">
        <f>Taulukko3[[#This Row],[Väestö, 18-64-vuotiaat (2023)]]*Taulukko4[Perushinnat, €]</f>
        <v>343907.82</v>
      </c>
      <c r="H230" s="461">
        <f>Taulukko3[[#This Row],[Työttömät ja palveluissa olevat (2023)]]*Taulukko4[[ ]]</f>
        <v>159625.62</v>
      </c>
      <c r="I230" s="461">
        <f>Taulukko3[[#This Row],[Vieraskieliset (2023)]]*Taulukko4[[  ]]</f>
        <v>12679.5</v>
      </c>
      <c r="J230" s="494">
        <f>SUM('TE25 Palveluiden rahoitus'!$G230:$I230)</f>
        <v>516212.94</v>
      </c>
      <c r="K230" s="499"/>
      <c r="L230" s="505">
        <v>119281.93600078108</v>
      </c>
      <c r="M230" s="458">
        <f>'TE25 Palveluiden rahoitus'!$J230*-0.5</f>
        <v>-258106.47</v>
      </c>
      <c r="N230" s="458">
        <f t="shared" si="8"/>
        <v>-138824.53399921893</v>
      </c>
      <c r="O230" s="510">
        <f t="shared" si="9"/>
        <v>377388.40600078111</v>
      </c>
      <c r="P230" s="474"/>
      <c r="Q230" s="514">
        <v>-56273.22</v>
      </c>
    </row>
    <row r="231" spans="1:17" ht="12.75">
      <c r="A231" s="474">
        <v>707</v>
      </c>
      <c r="B231" s="474" t="s">
        <v>231</v>
      </c>
      <c r="C231" s="459">
        <v>842</v>
      </c>
      <c r="D231" s="459">
        <v>163</v>
      </c>
      <c r="E231" s="459">
        <v>85</v>
      </c>
      <c r="G231" s="493">
        <f>Taulukko3[[#This Row],[Väestö, 18-64-vuotiaat (2023)]]*Taulukko4[Perushinnat, €]</f>
        <v>80840.42</v>
      </c>
      <c r="H231" s="461">
        <f>Taulukko3[[#This Row],[Työttömät ja palveluissa olevat (2023)]]*Taulukko4[[ ]]</f>
        <v>137666.54</v>
      </c>
      <c r="I231" s="461">
        <f>Taulukko3[[#This Row],[Vieraskieliset (2023)]]*Taulukko4[[  ]]</f>
        <v>5036.25</v>
      </c>
      <c r="J231" s="494">
        <f>SUM('TE25 Palveluiden rahoitus'!$G231:$I231)</f>
        <v>223543.21000000002</v>
      </c>
      <c r="K231" s="499"/>
      <c r="L231" s="505">
        <v>246167.6185766258</v>
      </c>
      <c r="M231" s="458">
        <f>'TE25 Palveluiden rahoitus'!$J231*-0.5</f>
        <v>-111771.60500000001</v>
      </c>
      <c r="N231" s="458">
        <f t="shared" si="8"/>
        <v>134396.01357662579</v>
      </c>
      <c r="O231" s="510">
        <f t="shared" si="9"/>
        <v>357939.22357662581</v>
      </c>
      <c r="P231" s="474"/>
      <c r="Q231" s="514">
        <v>-13227.820000000002</v>
      </c>
    </row>
    <row r="232" spans="1:17" ht="12.75">
      <c r="A232" s="474">
        <v>710</v>
      </c>
      <c r="B232" s="474" t="s">
        <v>232</v>
      </c>
      <c r="C232" s="459">
        <v>14748</v>
      </c>
      <c r="D232" s="459">
        <v>1465</v>
      </c>
      <c r="E232" s="459">
        <v>1590</v>
      </c>
      <c r="G232" s="493">
        <f>Taulukko3[[#This Row],[Väestö, 18-64-vuotiaat (2023)]]*Taulukko4[Perushinnat, €]</f>
        <v>1415955.48</v>
      </c>
      <c r="H232" s="461">
        <f>Taulukko3[[#This Row],[Työttömät ja palveluissa olevat (2023)]]*Taulukko4[[ ]]</f>
        <v>1237309.7</v>
      </c>
      <c r="I232" s="461">
        <f>Taulukko3[[#This Row],[Vieraskieliset (2023)]]*Taulukko4[[  ]]</f>
        <v>94207.5</v>
      </c>
      <c r="J232" s="494">
        <f>SUM('TE25 Palveluiden rahoitus'!$G232:$I232)</f>
        <v>2747472.6799999997</v>
      </c>
      <c r="K232" s="499"/>
      <c r="L232" s="505">
        <v>1062486.7546767211</v>
      </c>
      <c r="M232" s="458">
        <f>'TE25 Palveluiden rahoitus'!$J232*-0.5</f>
        <v>-1373736.3399999999</v>
      </c>
      <c r="N232" s="458">
        <f t="shared" si="8"/>
        <v>-311249.58532327879</v>
      </c>
      <c r="O232" s="510">
        <f t="shared" si="9"/>
        <v>2436223.0946767209</v>
      </c>
      <c r="P232" s="474"/>
      <c r="Q232" s="514">
        <v>-231691.08000000002</v>
      </c>
    </row>
    <row r="233" spans="1:17" ht="12.75">
      <c r="A233" s="474">
        <v>729</v>
      </c>
      <c r="B233" s="474" t="s">
        <v>233</v>
      </c>
      <c r="C233" s="459">
        <v>4291</v>
      </c>
      <c r="D233" s="459">
        <v>718</v>
      </c>
      <c r="E233" s="459">
        <v>141</v>
      </c>
      <c r="G233" s="493">
        <f>Taulukko3[[#This Row],[Väestö, 18-64-vuotiaat (2023)]]*Taulukko4[Perushinnat, €]</f>
        <v>411978.91000000003</v>
      </c>
      <c r="H233" s="461">
        <f>Taulukko3[[#This Row],[Työttömät ja palveluissa olevat (2023)]]*Taulukko4[[ ]]</f>
        <v>606408.44000000006</v>
      </c>
      <c r="I233" s="461">
        <f>Taulukko3[[#This Row],[Vieraskieliset (2023)]]*Taulukko4[[  ]]</f>
        <v>8354.25</v>
      </c>
      <c r="J233" s="494">
        <f>SUM('TE25 Palveluiden rahoitus'!$G233:$I233)</f>
        <v>1026741.6000000001</v>
      </c>
      <c r="K233" s="499"/>
      <c r="L233" s="505">
        <v>844400.27621924179</v>
      </c>
      <c r="M233" s="458">
        <f>'TE25 Palveluiden rahoitus'!$J233*-0.5</f>
        <v>-513370.80000000005</v>
      </c>
      <c r="N233" s="458">
        <f t="shared" si="8"/>
        <v>331029.47621924174</v>
      </c>
      <c r="O233" s="510">
        <f t="shared" si="9"/>
        <v>1357771.0762192418</v>
      </c>
      <c r="P233" s="474"/>
      <c r="Q233" s="514">
        <v>-67411.61</v>
      </c>
    </row>
    <row r="234" spans="1:17" ht="12.75">
      <c r="A234" s="474">
        <v>732</v>
      </c>
      <c r="B234" s="474" t="s">
        <v>234</v>
      </c>
      <c r="C234" s="459">
        <v>1609</v>
      </c>
      <c r="D234" s="459">
        <v>236</v>
      </c>
      <c r="E234" s="459">
        <v>121</v>
      </c>
      <c r="G234" s="493">
        <f>Taulukko3[[#This Row],[Väestö, 18-64-vuotiaat (2023)]]*Taulukko4[Perushinnat, €]</f>
        <v>154480.09</v>
      </c>
      <c r="H234" s="461">
        <f>Taulukko3[[#This Row],[Työttömät ja palveluissa olevat (2023)]]*Taulukko4[[ ]]</f>
        <v>199320.88</v>
      </c>
      <c r="I234" s="461">
        <f>Taulukko3[[#This Row],[Vieraskieliset (2023)]]*Taulukko4[[  ]]</f>
        <v>7169.25</v>
      </c>
      <c r="J234" s="494">
        <f>SUM('TE25 Palveluiden rahoitus'!$G234:$I234)</f>
        <v>360970.22</v>
      </c>
      <c r="K234" s="499"/>
      <c r="L234" s="505">
        <v>260096.36005584002</v>
      </c>
      <c r="M234" s="458">
        <f>'TE25 Palveluiden rahoitus'!$J234*-0.5</f>
        <v>-180485.11</v>
      </c>
      <c r="N234" s="458">
        <f t="shared" si="8"/>
        <v>79611.250055840035</v>
      </c>
      <c r="O234" s="510">
        <f t="shared" si="9"/>
        <v>440581.47005583998</v>
      </c>
      <c r="P234" s="474"/>
      <c r="Q234" s="514">
        <v>-25277.390000000003</v>
      </c>
    </row>
    <row r="235" spans="1:17" ht="12.75">
      <c r="A235" s="474">
        <v>734</v>
      </c>
      <c r="B235" s="474" t="s">
        <v>235</v>
      </c>
      <c r="C235" s="459">
        <v>27641</v>
      </c>
      <c r="D235" s="459">
        <v>3432</v>
      </c>
      <c r="E235" s="459">
        <v>4273</v>
      </c>
      <c r="G235" s="493">
        <f>Taulukko3[[#This Row],[Väestö, 18-64-vuotiaat (2023)]]*Taulukko4[Perushinnat, €]</f>
        <v>2653812.41</v>
      </c>
      <c r="H235" s="461">
        <f>Taulukko3[[#This Row],[Työttömät ja palveluissa olevat (2023)]]*Taulukko4[[ ]]</f>
        <v>2898598.56</v>
      </c>
      <c r="I235" s="461">
        <f>Taulukko3[[#This Row],[Vieraskieliset (2023)]]*Taulukko4[[  ]]</f>
        <v>253175.25</v>
      </c>
      <c r="J235" s="494">
        <f>SUM('TE25 Palveluiden rahoitus'!$G235:$I235)</f>
        <v>5805586.2200000007</v>
      </c>
      <c r="K235" s="499"/>
      <c r="L235" s="505">
        <v>3139830.6967290239</v>
      </c>
      <c r="M235" s="458">
        <f>'TE25 Palveluiden rahoitus'!$J235*-0.5</f>
        <v>-2902793.1100000003</v>
      </c>
      <c r="N235" s="458">
        <f t="shared" si="8"/>
        <v>237037.58672902361</v>
      </c>
      <c r="O235" s="510">
        <f t="shared" si="9"/>
        <v>6042623.8067290252</v>
      </c>
      <c r="P235" s="474"/>
      <c r="Q235" s="514">
        <v>-434240.11000000004</v>
      </c>
    </row>
    <row r="236" spans="1:17" ht="12.75">
      <c r="A236" s="474">
        <v>738</v>
      </c>
      <c r="B236" s="474" t="s">
        <v>236</v>
      </c>
      <c r="C236" s="459">
        <v>1615</v>
      </c>
      <c r="D236" s="459">
        <v>126</v>
      </c>
      <c r="E236" s="459">
        <v>203</v>
      </c>
      <c r="G236" s="493">
        <f>Taulukko3[[#This Row],[Väestö, 18-64-vuotiaat (2023)]]*Taulukko4[Perushinnat, €]</f>
        <v>155056.15</v>
      </c>
      <c r="H236" s="461">
        <f>Taulukko3[[#This Row],[Työttömät ja palveluissa olevat (2023)]]*Taulukko4[[ ]]</f>
        <v>106417.08</v>
      </c>
      <c r="I236" s="461">
        <f>Taulukko3[[#This Row],[Vieraskieliset (2023)]]*Taulukko4[[  ]]</f>
        <v>12027.75</v>
      </c>
      <c r="J236" s="494">
        <f>SUM('TE25 Palveluiden rahoitus'!$G236:$I236)</f>
        <v>273500.98</v>
      </c>
      <c r="K236" s="499"/>
      <c r="L236" s="505">
        <v>85421.520868098392</v>
      </c>
      <c r="M236" s="458">
        <f>'TE25 Palveluiden rahoitus'!$J236*-0.5</f>
        <v>-136750.49</v>
      </c>
      <c r="N236" s="458">
        <f t="shared" si="8"/>
        <v>-51328.969131901598</v>
      </c>
      <c r="O236" s="510">
        <f t="shared" si="9"/>
        <v>222172.01086809835</v>
      </c>
      <c r="P236" s="474"/>
      <c r="Q236" s="514">
        <v>-25371.65</v>
      </c>
    </row>
    <row r="237" spans="1:17" ht="12.75">
      <c r="A237" s="474">
        <v>739</v>
      </c>
      <c r="B237" s="474" t="s">
        <v>237</v>
      </c>
      <c r="C237" s="459">
        <v>1490</v>
      </c>
      <c r="D237" s="459">
        <v>164</v>
      </c>
      <c r="E237" s="459">
        <v>83</v>
      </c>
      <c r="G237" s="493">
        <f>Taulukko3[[#This Row],[Väestö, 18-64-vuotiaat (2023)]]*Taulukko4[Perushinnat, €]</f>
        <v>143054.9</v>
      </c>
      <c r="H237" s="461">
        <f>Taulukko3[[#This Row],[Työttömät ja palveluissa olevat (2023)]]*Taulukko4[[ ]]</f>
        <v>138511.12</v>
      </c>
      <c r="I237" s="461">
        <f>Taulukko3[[#This Row],[Vieraskieliset (2023)]]*Taulukko4[[  ]]</f>
        <v>4917.75</v>
      </c>
      <c r="J237" s="494">
        <f>SUM('TE25 Palveluiden rahoitus'!$G237:$I237)</f>
        <v>286483.77</v>
      </c>
      <c r="K237" s="499"/>
      <c r="L237" s="505">
        <v>181796.3143800766</v>
      </c>
      <c r="M237" s="458">
        <f>'TE25 Palveluiden rahoitus'!$J237*-0.5</f>
        <v>-143241.88500000001</v>
      </c>
      <c r="N237" s="458">
        <f t="shared" si="8"/>
        <v>38554.429380076588</v>
      </c>
      <c r="O237" s="510">
        <f t="shared" si="9"/>
        <v>325038.19938007661</v>
      </c>
      <c r="P237" s="474"/>
      <c r="Q237" s="514">
        <v>-23407.9</v>
      </c>
    </row>
    <row r="238" spans="1:17" ht="12.75">
      <c r="A238" s="474">
        <v>740</v>
      </c>
      <c r="B238" s="474" t="s">
        <v>238</v>
      </c>
      <c r="C238" s="459">
        <v>16384</v>
      </c>
      <c r="D238" s="459">
        <v>2330</v>
      </c>
      <c r="E238" s="459">
        <v>1541</v>
      </c>
      <c r="G238" s="493">
        <f>Taulukko3[[#This Row],[Väestö, 18-64-vuotiaat (2023)]]*Taulukko4[Perushinnat, €]</f>
        <v>1573027.8400000001</v>
      </c>
      <c r="H238" s="461">
        <f>Taulukko3[[#This Row],[Työttömät ja palveluissa olevat (2023)]]*Taulukko4[[ ]]</f>
        <v>1967871.4000000001</v>
      </c>
      <c r="I238" s="461">
        <f>Taulukko3[[#This Row],[Vieraskieliset (2023)]]*Taulukko4[[  ]]</f>
        <v>91304.25</v>
      </c>
      <c r="J238" s="494">
        <f>SUM('TE25 Palveluiden rahoitus'!$G238:$I238)</f>
        <v>3632203.49</v>
      </c>
      <c r="K238" s="499"/>
      <c r="L238" s="505">
        <v>2642357.2151609645</v>
      </c>
      <c r="M238" s="458">
        <f>'TE25 Palveluiden rahoitus'!$J238*-0.5</f>
        <v>-1816101.7450000001</v>
      </c>
      <c r="N238" s="458">
        <f t="shared" si="8"/>
        <v>826255.47016096441</v>
      </c>
      <c r="O238" s="510">
        <f t="shared" si="9"/>
        <v>4458458.9601609642</v>
      </c>
      <c r="P238" s="474"/>
      <c r="Q238" s="514">
        <v>-257392.64000000001</v>
      </c>
    </row>
    <row r="239" spans="1:17" ht="12.75">
      <c r="A239" s="474">
        <v>742</v>
      </c>
      <c r="B239" s="474" t="s">
        <v>239</v>
      </c>
      <c r="C239" s="459">
        <v>508</v>
      </c>
      <c r="D239" s="459">
        <v>88</v>
      </c>
      <c r="E239" s="459">
        <v>20</v>
      </c>
      <c r="G239" s="493">
        <f>Taulukko3[[#This Row],[Väestö, 18-64-vuotiaat (2023)]]*Taulukko4[Perushinnat, €]</f>
        <v>48773.08</v>
      </c>
      <c r="H239" s="461">
        <f>Taulukko3[[#This Row],[Työttömät ja palveluissa olevat (2023)]]*Taulukko4[[ ]]</f>
        <v>74323.040000000008</v>
      </c>
      <c r="I239" s="461">
        <f>Taulukko3[[#This Row],[Vieraskieliset (2023)]]*Taulukko4[[  ]]</f>
        <v>1185</v>
      </c>
      <c r="J239" s="494">
        <f>SUM('TE25 Palveluiden rahoitus'!$G239:$I239)</f>
        <v>124281.12000000001</v>
      </c>
      <c r="K239" s="499"/>
      <c r="L239" s="505">
        <v>103273.39335176334</v>
      </c>
      <c r="M239" s="458">
        <f>'TE25 Palveluiden rahoitus'!$J239*-0.5</f>
        <v>-62140.560000000005</v>
      </c>
      <c r="N239" s="458">
        <f t="shared" si="8"/>
        <v>41132.833351763336</v>
      </c>
      <c r="O239" s="510">
        <f t="shared" si="9"/>
        <v>165413.95335176337</v>
      </c>
      <c r="P239" s="474"/>
      <c r="Q239" s="514">
        <v>-7980.68</v>
      </c>
    </row>
    <row r="240" spans="1:17" ht="12.75">
      <c r="A240" s="474">
        <v>743</v>
      </c>
      <c r="B240" s="474" t="s">
        <v>240</v>
      </c>
      <c r="C240" s="459">
        <v>39090</v>
      </c>
      <c r="D240" s="459">
        <v>3533</v>
      </c>
      <c r="E240" s="459">
        <v>2981</v>
      </c>
      <c r="G240" s="493">
        <f>Taulukko3[[#This Row],[Väestö, 18-64-vuotiaat (2023)]]*Taulukko4[Perushinnat, €]</f>
        <v>3753030.9000000004</v>
      </c>
      <c r="H240" s="461">
        <f>Taulukko3[[#This Row],[Työttömät ja palveluissa olevat (2023)]]*Taulukko4[[ ]]</f>
        <v>2983901.14</v>
      </c>
      <c r="I240" s="461">
        <f>Taulukko3[[#This Row],[Vieraskieliset (2023)]]*Taulukko4[[  ]]</f>
        <v>176624.25</v>
      </c>
      <c r="J240" s="494">
        <f>SUM('TE25 Palveluiden rahoitus'!$G240:$I240)</f>
        <v>6913556.290000001</v>
      </c>
      <c r="K240" s="499"/>
      <c r="L240" s="505">
        <v>4161742.6413281579</v>
      </c>
      <c r="M240" s="458">
        <f>'TE25 Palveluiden rahoitus'!$J240*-0.5</f>
        <v>-3456778.1450000005</v>
      </c>
      <c r="N240" s="458">
        <f t="shared" si="8"/>
        <v>704964.49632815737</v>
      </c>
      <c r="O240" s="510">
        <f t="shared" si="9"/>
        <v>7618520.7863281583</v>
      </c>
      <c r="P240" s="474"/>
      <c r="Q240" s="514">
        <v>-614103.9</v>
      </c>
    </row>
    <row r="241" spans="1:17" ht="12.75">
      <c r="A241" s="474">
        <v>746</v>
      </c>
      <c r="B241" s="474" t="s">
        <v>241</v>
      </c>
      <c r="C241" s="459">
        <v>2384</v>
      </c>
      <c r="D241" s="459">
        <v>225</v>
      </c>
      <c r="E241" s="459">
        <v>167</v>
      </c>
      <c r="G241" s="493">
        <f>Taulukko3[[#This Row],[Väestö, 18-64-vuotiaat (2023)]]*Taulukko4[Perushinnat, €]</f>
        <v>228887.84000000003</v>
      </c>
      <c r="H241" s="461">
        <f>Taulukko3[[#This Row],[Työttömät ja palveluissa olevat (2023)]]*Taulukko4[[ ]]</f>
        <v>190030.5</v>
      </c>
      <c r="I241" s="461">
        <f>Taulukko3[[#This Row],[Vieraskieliset (2023)]]*Taulukko4[[  ]]</f>
        <v>9894.75</v>
      </c>
      <c r="J241" s="494">
        <f>SUM('TE25 Palveluiden rahoitus'!$G241:$I241)</f>
        <v>428813.09</v>
      </c>
      <c r="K241" s="499"/>
      <c r="L241" s="505">
        <v>143508.80626406561</v>
      </c>
      <c r="M241" s="458">
        <f>'TE25 Palveluiden rahoitus'!$J241*-0.5</f>
        <v>-214406.54500000001</v>
      </c>
      <c r="N241" s="458">
        <f t="shared" si="8"/>
        <v>-70897.738735934399</v>
      </c>
      <c r="O241" s="510">
        <f t="shared" si="9"/>
        <v>357915.3512640656</v>
      </c>
      <c r="P241" s="474"/>
      <c r="Q241" s="514">
        <v>-37452.639999999999</v>
      </c>
    </row>
    <row r="242" spans="1:17" ht="12.75">
      <c r="A242" s="474">
        <v>747</v>
      </c>
      <c r="B242" s="474" t="s">
        <v>242</v>
      </c>
      <c r="C242" s="459">
        <v>593</v>
      </c>
      <c r="D242" s="459">
        <v>87</v>
      </c>
      <c r="E242" s="459">
        <v>18</v>
      </c>
      <c r="G242" s="493">
        <f>Taulukko3[[#This Row],[Väestö, 18-64-vuotiaat (2023)]]*Taulukko4[Perushinnat, €]</f>
        <v>56933.93</v>
      </c>
      <c r="H242" s="461">
        <f>Taulukko3[[#This Row],[Työttömät ja palveluissa olevat (2023)]]*Taulukko4[[ ]]</f>
        <v>73478.460000000006</v>
      </c>
      <c r="I242" s="461">
        <f>Taulukko3[[#This Row],[Vieraskieliset (2023)]]*Taulukko4[[  ]]</f>
        <v>1066.5</v>
      </c>
      <c r="J242" s="494">
        <f>SUM('TE25 Palveluiden rahoitus'!$G242:$I242)</f>
        <v>131478.89000000001</v>
      </c>
      <c r="K242" s="499"/>
      <c r="L242" s="505">
        <v>88262.671950109812</v>
      </c>
      <c r="M242" s="458">
        <f>'TE25 Palveluiden rahoitus'!$J242*-0.5</f>
        <v>-65739.445000000007</v>
      </c>
      <c r="N242" s="458">
        <f t="shared" si="8"/>
        <v>22523.226950109805</v>
      </c>
      <c r="O242" s="510">
        <f t="shared" si="9"/>
        <v>154002.11695010983</v>
      </c>
      <c r="P242" s="474"/>
      <c r="Q242" s="514">
        <v>-9316.0300000000007</v>
      </c>
    </row>
    <row r="243" spans="1:17" ht="12.75">
      <c r="A243" s="474">
        <v>748</v>
      </c>
      <c r="B243" s="474" t="s">
        <v>243</v>
      </c>
      <c r="C243" s="459">
        <v>2333</v>
      </c>
      <c r="D243" s="459">
        <v>258</v>
      </c>
      <c r="E243" s="459">
        <v>83</v>
      </c>
      <c r="G243" s="493">
        <f>Taulukko3[[#This Row],[Väestö, 18-64-vuotiaat (2023)]]*Taulukko4[Perushinnat, €]</f>
        <v>223991.33000000002</v>
      </c>
      <c r="H243" s="461">
        <f>Taulukko3[[#This Row],[Työttömät ja palveluissa olevat (2023)]]*Taulukko4[[ ]]</f>
        <v>217901.64</v>
      </c>
      <c r="I243" s="461">
        <f>Taulukko3[[#This Row],[Vieraskieliset (2023)]]*Taulukko4[[  ]]</f>
        <v>4917.75</v>
      </c>
      <c r="J243" s="494">
        <f>SUM('TE25 Palveluiden rahoitus'!$G243:$I243)</f>
        <v>446810.72000000003</v>
      </c>
      <c r="K243" s="499"/>
      <c r="L243" s="505">
        <v>259782.87246259308</v>
      </c>
      <c r="M243" s="458">
        <f>'TE25 Palveluiden rahoitus'!$J243*-0.5</f>
        <v>-223405.36000000002</v>
      </c>
      <c r="N243" s="458">
        <f t="shared" si="8"/>
        <v>36377.512462593062</v>
      </c>
      <c r="O243" s="510">
        <f t="shared" si="9"/>
        <v>483188.23246259312</v>
      </c>
      <c r="P243" s="474"/>
      <c r="Q243" s="514">
        <v>-36651.43</v>
      </c>
    </row>
    <row r="244" spans="1:17" ht="12.75">
      <c r="A244" s="474">
        <v>749</v>
      </c>
      <c r="B244" s="474" t="s">
        <v>244</v>
      </c>
      <c r="C244" s="459">
        <v>11609</v>
      </c>
      <c r="D244" s="459">
        <v>982</v>
      </c>
      <c r="E244" s="459">
        <v>483</v>
      </c>
      <c r="G244" s="493">
        <f>Taulukko3[[#This Row],[Väestö, 18-64-vuotiaat (2023)]]*Taulukko4[Perushinnat, €]</f>
        <v>1114580.0900000001</v>
      </c>
      <c r="H244" s="461">
        <f>Taulukko3[[#This Row],[Työttömät ja palveluissa olevat (2023)]]*Taulukko4[[ ]]</f>
        <v>829377.56</v>
      </c>
      <c r="I244" s="461">
        <f>Taulukko3[[#This Row],[Vieraskieliset (2023)]]*Taulukko4[[  ]]</f>
        <v>28617.75</v>
      </c>
      <c r="J244" s="494">
        <f>SUM('TE25 Palveluiden rahoitus'!$G244:$I244)</f>
        <v>1972575.4000000001</v>
      </c>
      <c r="K244" s="499"/>
      <c r="L244" s="505">
        <v>868382.071798185</v>
      </c>
      <c r="M244" s="458">
        <f>'TE25 Palveluiden rahoitus'!$J244*-0.5</f>
        <v>-986287.70000000007</v>
      </c>
      <c r="N244" s="458">
        <f t="shared" si="8"/>
        <v>-117905.62820181507</v>
      </c>
      <c r="O244" s="510">
        <f t="shared" si="9"/>
        <v>1854669.7717981851</v>
      </c>
      <c r="P244" s="474"/>
      <c r="Q244" s="514">
        <v>-182377.39</v>
      </c>
    </row>
    <row r="245" spans="1:17" ht="12.75">
      <c r="A245" s="474">
        <v>751</v>
      </c>
      <c r="B245" s="474" t="s">
        <v>245</v>
      </c>
      <c r="C245" s="459">
        <v>1353</v>
      </c>
      <c r="D245" s="459">
        <v>181</v>
      </c>
      <c r="E245" s="459">
        <v>27</v>
      </c>
      <c r="G245" s="493">
        <f>Taulukko3[[#This Row],[Väestö, 18-64-vuotiaat (2023)]]*Taulukko4[Perushinnat, €]</f>
        <v>129901.53000000001</v>
      </c>
      <c r="H245" s="461">
        <f>Taulukko3[[#This Row],[Työttömät ja palveluissa olevat (2023)]]*Taulukko4[[ ]]</f>
        <v>152868.98000000001</v>
      </c>
      <c r="I245" s="461">
        <f>Taulukko3[[#This Row],[Vieraskieliset (2023)]]*Taulukko4[[  ]]</f>
        <v>1599.75</v>
      </c>
      <c r="J245" s="494">
        <f>SUM('TE25 Palveluiden rahoitus'!$G245:$I245)</f>
        <v>284370.26</v>
      </c>
      <c r="K245" s="499"/>
      <c r="L245" s="505">
        <v>174272.99645034171</v>
      </c>
      <c r="M245" s="458">
        <f>'TE25 Palveluiden rahoitus'!$J245*-0.5</f>
        <v>-142185.13</v>
      </c>
      <c r="N245" s="458">
        <f t="shared" si="8"/>
        <v>32087.866450341709</v>
      </c>
      <c r="O245" s="510">
        <f t="shared" si="9"/>
        <v>316458.12645034172</v>
      </c>
      <c r="P245" s="474"/>
      <c r="Q245" s="514">
        <v>-21255.63</v>
      </c>
    </row>
    <row r="246" spans="1:17" ht="12.75">
      <c r="A246" s="474">
        <v>753</v>
      </c>
      <c r="B246" s="474" t="s">
        <v>246</v>
      </c>
      <c r="C246" s="459">
        <v>13591</v>
      </c>
      <c r="D246" s="459">
        <v>949</v>
      </c>
      <c r="E246" s="459">
        <v>1600</v>
      </c>
      <c r="G246" s="493">
        <f>Taulukko3[[#This Row],[Väestö, 18-64-vuotiaat (2023)]]*Taulukko4[Perushinnat, €]</f>
        <v>1304871.9100000001</v>
      </c>
      <c r="H246" s="461">
        <f>Taulukko3[[#This Row],[Työttömät ja palveluissa olevat (2023)]]*Taulukko4[[ ]]</f>
        <v>801506.42</v>
      </c>
      <c r="I246" s="461">
        <f>Taulukko3[[#This Row],[Vieraskieliset (2023)]]*Taulukko4[[  ]]</f>
        <v>94800</v>
      </c>
      <c r="J246" s="494">
        <f>SUM('TE25 Palveluiden rahoitus'!$G246:$I246)</f>
        <v>2201178.33</v>
      </c>
      <c r="K246" s="499"/>
      <c r="L246" s="505">
        <v>773361.13773170696</v>
      </c>
      <c r="M246" s="458">
        <f>'TE25 Palveluiden rahoitus'!$J246*-0.5</f>
        <v>-1100589.165</v>
      </c>
      <c r="N246" s="458">
        <f t="shared" si="8"/>
        <v>-327228.02726829308</v>
      </c>
      <c r="O246" s="510">
        <f t="shared" si="9"/>
        <v>1873950.3027317068</v>
      </c>
      <c r="P246" s="474"/>
      <c r="Q246" s="514">
        <v>-213514.61000000002</v>
      </c>
    </row>
    <row r="247" spans="1:17" ht="12.75">
      <c r="A247" s="474">
        <v>755</v>
      </c>
      <c r="B247" s="474" t="s">
        <v>247</v>
      </c>
      <c r="C247" s="459">
        <v>3587</v>
      </c>
      <c r="D247" s="459">
        <v>225</v>
      </c>
      <c r="E247" s="459">
        <v>493</v>
      </c>
      <c r="G247" s="493">
        <f>Taulukko3[[#This Row],[Väestö, 18-64-vuotiaat (2023)]]*Taulukko4[Perushinnat, €]</f>
        <v>344387.87</v>
      </c>
      <c r="H247" s="461">
        <f>Taulukko3[[#This Row],[Työttömät ja palveluissa olevat (2023)]]*Taulukko4[[ ]]</f>
        <v>190030.5</v>
      </c>
      <c r="I247" s="461">
        <f>Taulukko3[[#This Row],[Vieraskieliset (2023)]]*Taulukko4[[  ]]</f>
        <v>29210.25</v>
      </c>
      <c r="J247" s="494">
        <f>SUM('TE25 Palveluiden rahoitus'!$G247:$I247)</f>
        <v>563628.62</v>
      </c>
      <c r="K247" s="499"/>
      <c r="L247" s="505">
        <v>189924.05710689301</v>
      </c>
      <c r="M247" s="458">
        <f>'TE25 Palveluiden rahoitus'!$J247*-0.5</f>
        <v>-281814.31</v>
      </c>
      <c r="N247" s="458">
        <f t="shared" si="8"/>
        <v>-91890.252893106983</v>
      </c>
      <c r="O247" s="510">
        <f t="shared" si="9"/>
        <v>471738.36710689304</v>
      </c>
      <c r="P247" s="474"/>
      <c r="Q247" s="514">
        <v>-56351.770000000004</v>
      </c>
    </row>
    <row r="248" spans="1:17" ht="12.75">
      <c r="A248" s="474">
        <v>758</v>
      </c>
      <c r="B248" s="474" t="s">
        <v>248</v>
      </c>
      <c r="C248" s="459">
        <v>4450</v>
      </c>
      <c r="D248" s="459">
        <v>394</v>
      </c>
      <c r="E248" s="459">
        <v>195</v>
      </c>
      <c r="G248" s="493">
        <f>Taulukko3[[#This Row],[Väestö, 18-64-vuotiaat (2023)]]*Taulukko4[Perushinnat, €]</f>
        <v>427244.5</v>
      </c>
      <c r="H248" s="461">
        <f>Taulukko3[[#This Row],[Työttömät ja palveluissa olevat (2023)]]*Taulukko4[[ ]]</f>
        <v>332764.52</v>
      </c>
      <c r="I248" s="461">
        <f>Taulukko3[[#This Row],[Vieraskieliset (2023)]]*Taulukko4[[  ]]</f>
        <v>11553.75</v>
      </c>
      <c r="J248" s="494">
        <f>SUM('TE25 Palveluiden rahoitus'!$G248:$I248)</f>
        <v>771562.77</v>
      </c>
      <c r="K248" s="499"/>
      <c r="L248" s="505">
        <v>529828.03419614269</v>
      </c>
      <c r="M248" s="458">
        <f>'TE25 Palveluiden rahoitus'!$J248*-0.5</f>
        <v>-385781.38500000001</v>
      </c>
      <c r="N248" s="458">
        <f t="shared" si="8"/>
        <v>144046.64919614268</v>
      </c>
      <c r="O248" s="510">
        <f t="shared" si="9"/>
        <v>915609.41919614258</v>
      </c>
      <c r="P248" s="474"/>
      <c r="Q248" s="514">
        <v>-69909.5</v>
      </c>
    </row>
    <row r="249" spans="1:17" ht="12.75">
      <c r="A249" s="474">
        <v>759</v>
      </c>
      <c r="B249" s="474" t="s">
        <v>249</v>
      </c>
      <c r="C249" s="459">
        <v>905</v>
      </c>
      <c r="D249" s="459">
        <v>85</v>
      </c>
      <c r="E249" s="459">
        <v>26</v>
      </c>
      <c r="G249" s="493">
        <f>Taulukko3[[#This Row],[Väestö, 18-64-vuotiaat (2023)]]*Taulukko4[Perushinnat, €]</f>
        <v>86889.05</v>
      </c>
      <c r="H249" s="461">
        <f>Taulukko3[[#This Row],[Työttömät ja palveluissa olevat (2023)]]*Taulukko4[[ ]]</f>
        <v>71789.3</v>
      </c>
      <c r="I249" s="461">
        <f>Taulukko3[[#This Row],[Vieraskieliset (2023)]]*Taulukko4[[  ]]</f>
        <v>1540.5</v>
      </c>
      <c r="J249" s="494">
        <f>SUM('TE25 Palveluiden rahoitus'!$G249:$I249)</f>
        <v>160218.85</v>
      </c>
      <c r="K249" s="499"/>
      <c r="L249" s="505">
        <v>107243.81742263243</v>
      </c>
      <c r="M249" s="458">
        <f>'TE25 Palveluiden rahoitus'!$J249*-0.5</f>
        <v>-80109.425000000003</v>
      </c>
      <c r="N249" s="458">
        <f t="shared" si="8"/>
        <v>27134.392422632431</v>
      </c>
      <c r="O249" s="510">
        <f t="shared" si="9"/>
        <v>187353.24242263247</v>
      </c>
      <c r="P249" s="474"/>
      <c r="Q249" s="514">
        <v>-14217.550000000001</v>
      </c>
    </row>
    <row r="250" spans="1:17" ht="12.75">
      <c r="A250" s="474">
        <v>761</v>
      </c>
      <c r="B250" s="474" t="s">
        <v>250</v>
      </c>
      <c r="C250" s="459">
        <v>4187</v>
      </c>
      <c r="D250" s="459">
        <v>452</v>
      </c>
      <c r="E250" s="459">
        <v>456</v>
      </c>
      <c r="G250" s="493">
        <f>Taulukko3[[#This Row],[Väestö, 18-64-vuotiaat (2023)]]*Taulukko4[Perushinnat, €]</f>
        <v>401993.87</v>
      </c>
      <c r="H250" s="461">
        <f>Taulukko3[[#This Row],[Työttömät ja palveluissa olevat (2023)]]*Taulukko4[[ ]]</f>
        <v>381750.16000000003</v>
      </c>
      <c r="I250" s="461">
        <f>Taulukko3[[#This Row],[Vieraskieliset (2023)]]*Taulukko4[[  ]]</f>
        <v>27018</v>
      </c>
      <c r="J250" s="494">
        <f>SUM('TE25 Palveluiden rahoitus'!$G250:$I250)</f>
        <v>810762.03</v>
      </c>
      <c r="K250" s="499"/>
      <c r="L250" s="505">
        <v>323937.16626130097</v>
      </c>
      <c r="M250" s="458">
        <f>'TE25 Palveluiden rahoitus'!$J250*-0.5</f>
        <v>-405381.01500000001</v>
      </c>
      <c r="N250" s="458">
        <f t="shared" si="8"/>
        <v>-81443.848738699045</v>
      </c>
      <c r="O250" s="510">
        <f t="shared" si="9"/>
        <v>729318.18126130092</v>
      </c>
      <c r="P250" s="474"/>
      <c r="Q250" s="514">
        <v>-65777.77</v>
      </c>
    </row>
    <row r="251" spans="1:17" ht="12.75">
      <c r="A251" s="474">
        <v>762</v>
      </c>
      <c r="B251" s="474" t="s">
        <v>251</v>
      </c>
      <c r="C251" s="459">
        <v>1743</v>
      </c>
      <c r="D251" s="459">
        <v>225</v>
      </c>
      <c r="E251" s="459">
        <v>45</v>
      </c>
      <c r="G251" s="493">
        <f>Taulukko3[[#This Row],[Väestö, 18-64-vuotiaat (2023)]]*Taulukko4[Perushinnat, €]</f>
        <v>167345.43000000002</v>
      </c>
      <c r="H251" s="461">
        <f>Taulukko3[[#This Row],[Työttömät ja palveluissa olevat (2023)]]*Taulukko4[[ ]]</f>
        <v>190030.5</v>
      </c>
      <c r="I251" s="461">
        <f>Taulukko3[[#This Row],[Vieraskieliset (2023)]]*Taulukko4[[  ]]</f>
        <v>2666.25</v>
      </c>
      <c r="J251" s="494">
        <f>SUM('TE25 Palveluiden rahoitus'!$G251:$I251)</f>
        <v>360042.18000000005</v>
      </c>
      <c r="K251" s="499"/>
      <c r="L251" s="505">
        <v>273750.38989368128</v>
      </c>
      <c r="M251" s="458">
        <f>'TE25 Palveluiden rahoitus'!$J251*-0.5</f>
        <v>-180021.09000000003</v>
      </c>
      <c r="N251" s="458">
        <f t="shared" si="8"/>
        <v>93729.299893681251</v>
      </c>
      <c r="O251" s="510">
        <f t="shared" si="9"/>
        <v>453771.4798936813</v>
      </c>
      <c r="P251" s="474"/>
      <c r="Q251" s="514">
        <v>-27382.530000000002</v>
      </c>
    </row>
    <row r="252" spans="1:17" ht="12.75">
      <c r="A252" s="474">
        <v>765</v>
      </c>
      <c r="B252" s="474" t="s">
        <v>252</v>
      </c>
      <c r="C252" s="459">
        <v>5481</v>
      </c>
      <c r="D252" s="459">
        <v>465</v>
      </c>
      <c r="E252" s="459">
        <v>497</v>
      </c>
      <c r="G252" s="493">
        <f>Taulukko3[[#This Row],[Väestö, 18-64-vuotiaat (2023)]]*Taulukko4[Perushinnat, €]</f>
        <v>526230.81000000006</v>
      </c>
      <c r="H252" s="461">
        <f>Taulukko3[[#This Row],[Työttömät ja palveluissa olevat (2023)]]*Taulukko4[[ ]]</f>
        <v>392729.7</v>
      </c>
      <c r="I252" s="461">
        <f>Taulukko3[[#This Row],[Vieraskieliset (2023)]]*Taulukko4[[  ]]</f>
        <v>29447.25</v>
      </c>
      <c r="J252" s="494">
        <f>SUM('TE25 Palveluiden rahoitus'!$G252:$I252)</f>
        <v>948407.76</v>
      </c>
      <c r="K252" s="499"/>
      <c r="L252" s="505">
        <v>781793.71603531437</v>
      </c>
      <c r="M252" s="458">
        <f>'TE25 Palveluiden rahoitus'!$J252*-0.5</f>
        <v>-474203.88</v>
      </c>
      <c r="N252" s="458">
        <f t="shared" si="8"/>
        <v>307589.83603531437</v>
      </c>
      <c r="O252" s="510">
        <f t="shared" si="9"/>
        <v>1255997.5960353143</v>
      </c>
      <c r="P252" s="474"/>
      <c r="Q252" s="514">
        <v>-86106.510000000009</v>
      </c>
    </row>
    <row r="253" spans="1:17" ht="12.75">
      <c r="A253" s="474">
        <v>768</v>
      </c>
      <c r="B253" s="474" t="s">
        <v>253</v>
      </c>
      <c r="C253" s="459">
        <v>1093</v>
      </c>
      <c r="D253" s="459">
        <v>116</v>
      </c>
      <c r="E253" s="459">
        <v>97</v>
      </c>
      <c r="G253" s="493">
        <f>Taulukko3[[#This Row],[Väestö, 18-64-vuotiaat (2023)]]*Taulukko4[Perushinnat, €]</f>
        <v>104938.93000000001</v>
      </c>
      <c r="H253" s="461">
        <f>Taulukko3[[#This Row],[Työttömät ja palveluissa olevat (2023)]]*Taulukko4[[ ]]</f>
        <v>97971.28</v>
      </c>
      <c r="I253" s="461">
        <f>Taulukko3[[#This Row],[Vieraskieliset (2023)]]*Taulukko4[[  ]]</f>
        <v>5747.25</v>
      </c>
      <c r="J253" s="494">
        <f>SUM('TE25 Palveluiden rahoitus'!$G253:$I253)</f>
        <v>208657.46000000002</v>
      </c>
      <c r="K253" s="499"/>
      <c r="L253" s="505">
        <v>167283.19941463936</v>
      </c>
      <c r="M253" s="458">
        <f>'TE25 Palveluiden rahoitus'!$J253*-0.5</f>
        <v>-104328.73000000001</v>
      </c>
      <c r="N253" s="458">
        <f t="shared" si="8"/>
        <v>62954.469414639345</v>
      </c>
      <c r="O253" s="510">
        <f t="shared" si="9"/>
        <v>271611.92941463937</v>
      </c>
      <c r="P253" s="474"/>
      <c r="Q253" s="514">
        <v>-17171.030000000002</v>
      </c>
    </row>
    <row r="254" spans="1:17" ht="12.75">
      <c r="A254" s="474">
        <v>777</v>
      </c>
      <c r="B254" s="474" t="s">
        <v>254</v>
      </c>
      <c r="C254" s="459">
        <v>3347</v>
      </c>
      <c r="D254" s="459">
        <v>451</v>
      </c>
      <c r="E254" s="459">
        <v>230</v>
      </c>
      <c r="G254" s="493">
        <f>Taulukko3[[#This Row],[Väestö, 18-64-vuotiaat (2023)]]*Taulukko4[Perushinnat, €]</f>
        <v>321345.47000000003</v>
      </c>
      <c r="H254" s="461">
        <f>Taulukko3[[#This Row],[Työttömät ja palveluissa olevat (2023)]]*Taulukko4[[ ]]</f>
        <v>380905.58</v>
      </c>
      <c r="I254" s="461">
        <f>Taulukko3[[#This Row],[Vieraskieliset (2023)]]*Taulukko4[[  ]]</f>
        <v>13627.5</v>
      </c>
      <c r="J254" s="494">
        <f>SUM('TE25 Palveluiden rahoitus'!$G254:$I254)</f>
        <v>715878.55</v>
      </c>
      <c r="K254" s="499"/>
      <c r="L254" s="505">
        <v>586288.14688040304</v>
      </c>
      <c r="M254" s="458">
        <f>'TE25 Palveluiden rahoitus'!$J254*-0.5</f>
        <v>-357939.27500000002</v>
      </c>
      <c r="N254" s="458">
        <f t="shared" si="8"/>
        <v>228348.87188040302</v>
      </c>
      <c r="O254" s="510">
        <f t="shared" si="9"/>
        <v>944227.42188040295</v>
      </c>
      <c r="P254" s="474"/>
      <c r="Q254" s="514">
        <v>-52581.37</v>
      </c>
    </row>
    <row r="255" spans="1:17" ht="12.75">
      <c r="A255" s="474">
        <v>778</v>
      </c>
      <c r="B255" s="474" t="s">
        <v>255</v>
      </c>
      <c r="C255" s="459">
        <v>3380</v>
      </c>
      <c r="D255" s="459">
        <v>360</v>
      </c>
      <c r="E255" s="459">
        <v>246</v>
      </c>
      <c r="G255" s="493">
        <f>Taulukko3[[#This Row],[Väestö, 18-64-vuotiaat (2023)]]*Taulukko4[Perushinnat, €]</f>
        <v>324513.8</v>
      </c>
      <c r="H255" s="461">
        <f>Taulukko3[[#This Row],[Työttömät ja palveluissa olevat (2023)]]*Taulukko4[[ ]]</f>
        <v>304048.8</v>
      </c>
      <c r="I255" s="461">
        <f>Taulukko3[[#This Row],[Vieraskieliset (2023)]]*Taulukko4[[  ]]</f>
        <v>14575.5</v>
      </c>
      <c r="J255" s="494">
        <f>SUM('TE25 Palveluiden rahoitus'!$G255:$I255)</f>
        <v>643138.1</v>
      </c>
      <c r="K255" s="499"/>
      <c r="L255" s="505">
        <v>326053.28357227414</v>
      </c>
      <c r="M255" s="458">
        <f>'TE25 Palveluiden rahoitus'!$J255*-0.5</f>
        <v>-321569.05</v>
      </c>
      <c r="N255" s="458">
        <f t="shared" si="8"/>
        <v>4484.2335722741554</v>
      </c>
      <c r="O255" s="510">
        <f t="shared" si="9"/>
        <v>647622.33357227407</v>
      </c>
      <c r="P255" s="474"/>
      <c r="Q255" s="514">
        <v>-53099.8</v>
      </c>
    </row>
    <row r="256" spans="1:17" ht="12.75">
      <c r="A256" s="474">
        <v>781</v>
      </c>
      <c r="B256" s="474" t="s">
        <v>256</v>
      </c>
      <c r="C256" s="459">
        <v>1537</v>
      </c>
      <c r="D256" s="459">
        <v>180</v>
      </c>
      <c r="E256" s="459">
        <v>105</v>
      </c>
      <c r="G256" s="493">
        <f>Taulukko3[[#This Row],[Väestö, 18-64-vuotiaat (2023)]]*Taulukko4[Perushinnat, €]</f>
        <v>147567.37</v>
      </c>
      <c r="H256" s="461">
        <f>Taulukko3[[#This Row],[Työttömät ja palveluissa olevat (2023)]]*Taulukko4[[ ]]</f>
        <v>152024.4</v>
      </c>
      <c r="I256" s="461">
        <f>Taulukko3[[#This Row],[Vieraskieliset (2023)]]*Taulukko4[[  ]]</f>
        <v>6221.25</v>
      </c>
      <c r="J256" s="494">
        <f>SUM('TE25 Palveluiden rahoitus'!$G256:$I256)</f>
        <v>305813.02</v>
      </c>
      <c r="K256" s="499"/>
      <c r="L256" s="505">
        <v>196835.32430604866</v>
      </c>
      <c r="M256" s="458">
        <f>'TE25 Palveluiden rahoitus'!$J256*-0.5</f>
        <v>-152906.51</v>
      </c>
      <c r="N256" s="458">
        <f t="shared" si="8"/>
        <v>43928.814306048647</v>
      </c>
      <c r="O256" s="510">
        <f t="shared" si="9"/>
        <v>349741.83430604869</v>
      </c>
      <c r="P256" s="474"/>
      <c r="Q256" s="514">
        <v>-24146.27</v>
      </c>
    </row>
    <row r="257" spans="1:17" ht="12.75">
      <c r="A257" s="474">
        <v>783</v>
      </c>
      <c r="B257" s="474" t="s">
        <v>257</v>
      </c>
      <c r="C257" s="459">
        <v>3266</v>
      </c>
      <c r="D257" s="459">
        <v>253</v>
      </c>
      <c r="E257" s="459">
        <v>305</v>
      </c>
      <c r="G257" s="493">
        <f>Taulukko3[[#This Row],[Väestö, 18-64-vuotiaat (2023)]]*Taulukko4[Perushinnat, €]</f>
        <v>313568.66000000003</v>
      </c>
      <c r="H257" s="461">
        <f>Taulukko3[[#This Row],[Työttömät ja palveluissa olevat (2023)]]*Taulukko4[[ ]]</f>
        <v>213678.74000000002</v>
      </c>
      <c r="I257" s="461">
        <f>Taulukko3[[#This Row],[Vieraskieliset (2023)]]*Taulukko4[[  ]]</f>
        <v>18071.25</v>
      </c>
      <c r="J257" s="494">
        <f>SUM('TE25 Palveluiden rahoitus'!$G257:$I257)</f>
        <v>545318.65</v>
      </c>
      <c r="K257" s="499"/>
      <c r="L257" s="505">
        <v>198623.13268979231</v>
      </c>
      <c r="M257" s="458">
        <f>'TE25 Palveluiden rahoitus'!$J257*-0.5</f>
        <v>-272659.32500000001</v>
      </c>
      <c r="N257" s="458">
        <f t="shared" si="8"/>
        <v>-74036.192310207698</v>
      </c>
      <c r="O257" s="510">
        <f t="shared" si="9"/>
        <v>471282.45768979233</v>
      </c>
      <c r="P257" s="474"/>
      <c r="Q257" s="514">
        <v>-51308.86</v>
      </c>
    </row>
    <row r="258" spans="1:17" ht="12.75">
      <c r="A258" s="474">
        <v>785</v>
      </c>
      <c r="B258" s="474" t="s">
        <v>258</v>
      </c>
      <c r="C258" s="459">
        <v>1213</v>
      </c>
      <c r="D258" s="459">
        <v>205</v>
      </c>
      <c r="E258" s="459">
        <v>66</v>
      </c>
      <c r="G258" s="493">
        <f>Taulukko3[[#This Row],[Väestö, 18-64-vuotiaat (2023)]]*Taulukko4[Perushinnat, €]</f>
        <v>116460.13</v>
      </c>
      <c r="H258" s="461">
        <f>Taulukko3[[#This Row],[Työttömät ja palveluissa olevat (2023)]]*Taulukko4[[ ]]</f>
        <v>173138.9</v>
      </c>
      <c r="I258" s="461">
        <f>Taulukko3[[#This Row],[Vieraskieliset (2023)]]*Taulukko4[[  ]]</f>
        <v>3910.5</v>
      </c>
      <c r="J258" s="494">
        <f>SUM('TE25 Palveluiden rahoitus'!$G258:$I258)</f>
        <v>293509.53000000003</v>
      </c>
      <c r="K258" s="499"/>
      <c r="L258" s="505">
        <v>310852.76921015733</v>
      </c>
      <c r="M258" s="458">
        <f>'TE25 Palveluiden rahoitus'!$J258*-0.5</f>
        <v>-146754.76500000001</v>
      </c>
      <c r="N258" s="458">
        <f t="shared" si="8"/>
        <v>164098.00421015732</v>
      </c>
      <c r="O258" s="510">
        <f t="shared" si="9"/>
        <v>457607.53421015735</v>
      </c>
      <c r="P258" s="474"/>
      <c r="Q258" s="514">
        <v>-19056.23</v>
      </c>
    </row>
    <row r="259" spans="1:17" ht="12.75">
      <c r="A259" s="474">
        <v>790</v>
      </c>
      <c r="B259" s="474" t="s">
        <v>259</v>
      </c>
      <c r="C259" s="459">
        <v>12163</v>
      </c>
      <c r="D259" s="459">
        <v>1147</v>
      </c>
      <c r="E259" s="459">
        <v>744</v>
      </c>
      <c r="G259" s="493">
        <f>Taulukko3[[#This Row],[Väestö, 18-64-vuotiaat (2023)]]*Taulukko4[Perushinnat, €]</f>
        <v>1167769.6300000001</v>
      </c>
      <c r="H259" s="461">
        <f>Taulukko3[[#This Row],[Työttömät ja palveluissa olevat (2023)]]*Taulukko4[[ ]]</f>
        <v>968733.26</v>
      </c>
      <c r="I259" s="461">
        <f>Taulukko3[[#This Row],[Vieraskieliset (2023)]]*Taulukko4[[  ]]</f>
        <v>44082</v>
      </c>
      <c r="J259" s="494">
        <f>SUM('TE25 Palveluiden rahoitus'!$G259:$I259)</f>
        <v>2180584.89</v>
      </c>
      <c r="K259" s="499"/>
      <c r="L259" s="505">
        <v>993075.79412854754</v>
      </c>
      <c r="M259" s="458">
        <f>'TE25 Palveluiden rahoitus'!$J259*-0.5</f>
        <v>-1090292.4450000001</v>
      </c>
      <c r="N259" s="458">
        <f t="shared" si="8"/>
        <v>-97216.650871452526</v>
      </c>
      <c r="O259" s="510">
        <f t="shared" si="9"/>
        <v>2083368.2391285475</v>
      </c>
      <c r="P259" s="474"/>
      <c r="Q259" s="514">
        <v>-191080.73</v>
      </c>
    </row>
    <row r="260" spans="1:17" ht="12.75">
      <c r="A260" s="474">
        <v>791</v>
      </c>
      <c r="B260" s="474" t="s">
        <v>260</v>
      </c>
      <c r="C260" s="459">
        <v>2445</v>
      </c>
      <c r="D260" s="459">
        <v>271</v>
      </c>
      <c r="E260" s="459">
        <v>86</v>
      </c>
      <c r="G260" s="493">
        <f>Taulukko3[[#This Row],[Väestö, 18-64-vuotiaat (2023)]]*Taulukko4[Perushinnat, €]</f>
        <v>234744.45</v>
      </c>
      <c r="H260" s="461">
        <f>Taulukko3[[#This Row],[Työttömät ja palveluissa olevat (2023)]]*Taulukko4[[ ]]</f>
        <v>228881.18000000002</v>
      </c>
      <c r="I260" s="461">
        <f>Taulukko3[[#This Row],[Vieraskieliset (2023)]]*Taulukko4[[  ]]</f>
        <v>5095.5</v>
      </c>
      <c r="J260" s="494">
        <f>SUM('TE25 Palveluiden rahoitus'!$G260:$I260)</f>
        <v>468721.13</v>
      </c>
      <c r="K260" s="499"/>
      <c r="L260" s="505">
        <v>186952.13601108282</v>
      </c>
      <c r="M260" s="458">
        <f>'TE25 Palveluiden rahoitus'!$J260*-0.5</f>
        <v>-234360.565</v>
      </c>
      <c r="N260" s="458">
        <f t="shared" si="8"/>
        <v>-47408.428988917178</v>
      </c>
      <c r="O260" s="510">
        <f t="shared" si="9"/>
        <v>421312.7010110828</v>
      </c>
      <c r="P260" s="474"/>
      <c r="Q260" s="514">
        <v>-38410.950000000004</v>
      </c>
    </row>
    <row r="261" spans="1:17" ht="12.75">
      <c r="A261" s="474">
        <v>831</v>
      </c>
      <c r="B261" s="474" t="s">
        <v>261</v>
      </c>
      <c r="C261" s="459">
        <v>2443</v>
      </c>
      <c r="D261" s="459">
        <v>257</v>
      </c>
      <c r="E261" s="459">
        <v>308</v>
      </c>
      <c r="G261" s="493">
        <f>Taulukko3[[#This Row],[Väestö, 18-64-vuotiaat (2023)]]*Taulukko4[Perushinnat, €]</f>
        <v>234552.43000000002</v>
      </c>
      <c r="H261" s="461">
        <f>Taulukko3[[#This Row],[Työttömät ja palveluissa olevat (2023)]]*Taulukko4[[ ]]</f>
        <v>217057.06</v>
      </c>
      <c r="I261" s="461">
        <f>Taulukko3[[#This Row],[Vieraskieliset (2023)]]*Taulukko4[[  ]]</f>
        <v>18249</v>
      </c>
      <c r="J261" s="494">
        <f>SUM('TE25 Palveluiden rahoitus'!$G261:$I261)</f>
        <v>469858.49</v>
      </c>
      <c r="K261" s="499"/>
      <c r="L261" s="505">
        <v>240033.62523727209</v>
      </c>
      <c r="M261" s="458">
        <f>'TE25 Palveluiden rahoitus'!$J261*-0.5</f>
        <v>-234929.245</v>
      </c>
      <c r="N261" s="458">
        <f t="shared" si="8"/>
        <v>5104.3802372720966</v>
      </c>
      <c r="O261" s="510">
        <f t="shared" si="9"/>
        <v>474962.87023727212</v>
      </c>
      <c r="P261" s="474"/>
      <c r="Q261" s="514">
        <v>-38379.53</v>
      </c>
    </row>
    <row r="262" spans="1:17" ht="12.75">
      <c r="A262" s="474">
        <v>832</v>
      </c>
      <c r="B262" s="474" t="s">
        <v>262</v>
      </c>
      <c r="C262" s="459">
        <v>1818</v>
      </c>
      <c r="D262" s="459">
        <v>269</v>
      </c>
      <c r="E262" s="459">
        <v>91</v>
      </c>
      <c r="G262" s="493">
        <f>Taulukko3[[#This Row],[Väestö, 18-64-vuotiaat (2023)]]*Taulukko4[Perushinnat, €]</f>
        <v>174546.18000000002</v>
      </c>
      <c r="H262" s="461">
        <f>Taulukko3[[#This Row],[Työttömät ja palveluissa olevat (2023)]]*Taulukko4[[ ]]</f>
        <v>227192.02000000002</v>
      </c>
      <c r="I262" s="461">
        <f>Taulukko3[[#This Row],[Vieraskieliset (2023)]]*Taulukko4[[  ]]</f>
        <v>5391.75</v>
      </c>
      <c r="J262" s="494">
        <f>SUM('TE25 Palveluiden rahoitus'!$G262:$I262)</f>
        <v>407129.95000000007</v>
      </c>
      <c r="K262" s="499"/>
      <c r="L262" s="505">
        <v>294588.83140607015</v>
      </c>
      <c r="M262" s="458">
        <f>'TE25 Palveluiden rahoitus'!$J262*-0.5</f>
        <v>-203564.97500000003</v>
      </c>
      <c r="N262" s="458">
        <f t="shared" si="8"/>
        <v>91023.856406070117</v>
      </c>
      <c r="O262" s="510">
        <f t="shared" si="9"/>
        <v>498153.80640607019</v>
      </c>
      <c r="P262" s="474"/>
      <c r="Q262" s="514">
        <v>-28560.780000000002</v>
      </c>
    </row>
    <row r="263" spans="1:17" ht="12.75">
      <c r="A263" s="474">
        <v>833</v>
      </c>
      <c r="B263" s="474" t="s">
        <v>263</v>
      </c>
      <c r="C263" s="459">
        <v>830</v>
      </c>
      <c r="D263" s="459">
        <v>79</v>
      </c>
      <c r="E263" s="459">
        <v>115</v>
      </c>
      <c r="G263" s="493">
        <f>Taulukko3[[#This Row],[Väestö, 18-64-vuotiaat (2023)]]*Taulukko4[Perushinnat, €]</f>
        <v>79688.3</v>
      </c>
      <c r="H263" s="461">
        <f>Taulukko3[[#This Row],[Työttömät ja palveluissa olevat (2023)]]*Taulukko4[[ ]]</f>
        <v>66721.820000000007</v>
      </c>
      <c r="I263" s="461">
        <f>Taulukko3[[#This Row],[Vieraskieliset (2023)]]*Taulukko4[[  ]]</f>
        <v>6813.75</v>
      </c>
      <c r="J263" s="494">
        <f>SUM('TE25 Palveluiden rahoitus'!$G263:$I263)</f>
        <v>153223.87</v>
      </c>
      <c r="K263" s="499"/>
      <c r="L263" s="505">
        <v>68874.198101430564</v>
      </c>
      <c r="M263" s="458">
        <f>'TE25 Palveluiden rahoitus'!$J263*-0.5</f>
        <v>-76611.934999999998</v>
      </c>
      <c r="N263" s="458">
        <f t="shared" si="8"/>
        <v>-7737.7368985694338</v>
      </c>
      <c r="O263" s="510">
        <f t="shared" si="9"/>
        <v>145486.13310143055</v>
      </c>
      <c r="P263" s="474"/>
      <c r="Q263" s="514">
        <v>-13039.300000000001</v>
      </c>
    </row>
    <row r="264" spans="1:17" ht="12.75">
      <c r="A264" s="474">
        <v>834</v>
      </c>
      <c r="B264" s="474" t="s">
        <v>264</v>
      </c>
      <c r="C264" s="459">
        <v>3129</v>
      </c>
      <c r="D264" s="459">
        <v>248</v>
      </c>
      <c r="E264" s="459">
        <v>170</v>
      </c>
      <c r="G264" s="493">
        <f>Taulukko3[[#This Row],[Väestö, 18-64-vuotiaat (2023)]]*Taulukko4[Perushinnat, €]</f>
        <v>300415.29000000004</v>
      </c>
      <c r="H264" s="461">
        <f>Taulukko3[[#This Row],[Työttömät ja palveluissa olevat (2023)]]*Taulukko4[[ ]]</f>
        <v>209455.84</v>
      </c>
      <c r="I264" s="461">
        <f>Taulukko3[[#This Row],[Vieraskieliset (2023)]]*Taulukko4[[  ]]</f>
        <v>10072.5</v>
      </c>
      <c r="J264" s="494">
        <f>SUM('TE25 Palveluiden rahoitus'!$G264:$I264)</f>
        <v>519943.63</v>
      </c>
      <c r="K264" s="499"/>
      <c r="L264" s="505">
        <v>211306.4035429733</v>
      </c>
      <c r="M264" s="458">
        <f>'TE25 Palveluiden rahoitus'!$J264*-0.5</f>
        <v>-259971.815</v>
      </c>
      <c r="N264" s="458">
        <f t="shared" si="8"/>
        <v>-48665.411457026697</v>
      </c>
      <c r="O264" s="510">
        <f t="shared" si="9"/>
        <v>471278.21854297334</v>
      </c>
      <c r="P264" s="474"/>
      <c r="Q264" s="514">
        <v>-49156.590000000004</v>
      </c>
    </row>
    <row r="265" spans="1:17" ht="12.75">
      <c r="A265" s="474">
        <v>837</v>
      </c>
      <c r="B265" s="474" t="s">
        <v>265</v>
      </c>
      <c r="C265" s="459">
        <v>167614</v>
      </c>
      <c r="D265" s="459">
        <v>20880</v>
      </c>
      <c r="E265" s="459">
        <v>26649</v>
      </c>
      <c r="G265" s="493">
        <f>Taulukko3[[#This Row],[Väestö, 18-64-vuotiaat (2023)]]*Taulukko4[Perushinnat, €]</f>
        <v>16092620.140000001</v>
      </c>
      <c r="H265" s="461">
        <f>Taulukko3[[#This Row],[Työttömät ja palveluissa olevat (2023)]]*Taulukko4[[ ]]</f>
        <v>17634830.400000002</v>
      </c>
      <c r="I265" s="461">
        <f>Taulukko3[[#This Row],[Vieraskieliset (2023)]]*Taulukko4[[  ]]</f>
        <v>1578953.25</v>
      </c>
      <c r="J265" s="494">
        <f>SUM('TE25 Palveluiden rahoitus'!$G265:$I265)</f>
        <v>35306403.790000007</v>
      </c>
      <c r="K265" s="499"/>
      <c r="L265" s="505">
        <v>18058320.084528159</v>
      </c>
      <c r="M265" s="458">
        <f>'TE25 Palveluiden rahoitus'!$J265*-0.5</f>
        <v>-17653201.895000003</v>
      </c>
      <c r="N265" s="458">
        <f t="shared" si="8"/>
        <v>405118.18952815607</v>
      </c>
      <c r="O265" s="510">
        <f t="shared" si="9"/>
        <v>35711521.979528166</v>
      </c>
      <c r="P265" s="474"/>
      <c r="Q265" s="514">
        <v>-2633215.94</v>
      </c>
    </row>
    <row r="266" spans="1:17" ht="12.75">
      <c r="A266" s="474">
        <v>844</v>
      </c>
      <c r="B266" s="474" t="s">
        <v>266</v>
      </c>
      <c r="C266" s="459">
        <v>656</v>
      </c>
      <c r="D266" s="459">
        <v>75</v>
      </c>
      <c r="E266" s="459">
        <v>34</v>
      </c>
      <c r="G266" s="493">
        <f>Taulukko3[[#This Row],[Väestö, 18-64-vuotiaat (2023)]]*Taulukko4[Perushinnat, €]</f>
        <v>62982.560000000005</v>
      </c>
      <c r="H266" s="461">
        <f>Taulukko3[[#This Row],[Työttömät ja palveluissa olevat (2023)]]*Taulukko4[[ ]]</f>
        <v>63343.5</v>
      </c>
      <c r="I266" s="461">
        <f>Taulukko3[[#This Row],[Vieraskieliset (2023)]]*Taulukko4[[  ]]</f>
        <v>2014.5</v>
      </c>
      <c r="J266" s="494">
        <f>SUM('TE25 Palveluiden rahoitus'!$G266:$I266)</f>
        <v>128340.56</v>
      </c>
      <c r="K266" s="499"/>
      <c r="L266" s="505">
        <v>69850.791859817284</v>
      </c>
      <c r="M266" s="458">
        <f>'TE25 Palveluiden rahoitus'!$J266*-0.5</f>
        <v>-64170.28</v>
      </c>
      <c r="N266" s="458">
        <f t="shared" si="8"/>
        <v>5680.5118598172849</v>
      </c>
      <c r="O266" s="510">
        <f t="shared" si="9"/>
        <v>134021.07185981728</v>
      </c>
      <c r="P266" s="474"/>
      <c r="Q266" s="514">
        <v>-10305.76</v>
      </c>
    </row>
    <row r="267" spans="1:17" ht="12.75">
      <c r="A267" s="474">
        <v>845</v>
      </c>
      <c r="B267" s="474" t="s">
        <v>267</v>
      </c>
      <c r="C267" s="459">
        <v>1409</v>
      </c>
      <c r="D267" s="459">
        <v>176</v>
      </c>
      <c r="E267" s="459">
        <v>72</v>
      </c>
      <c r="G267" s="493">
        <f>Taulukko3[[#This Row],[Väestö, 18-64-vuotiaat (2023)]]*Taulukko4[Perushinnat, €]</f>
        <v>135278.09</v>
      </c>
      <c r="H267" s="461">
        <f>Taulukko3[[#This Row],[Työttömät ja palveluissa olevat (2023)]]*Taulukko4[[ ]]</f>
        <v>148646.08000000002</v>
      </c>
      <c r="I267" s="461">
        <f>Taulukko3[[#This Row],[Vieraskieliset (2023)]]*Taulukko4[[  ]]</f>
        <v>4266</v>
      </c>
      <c r="J267" s="494">
        <f>SUM('TE25 Palveluiden rahoitus'!$G267:$I267)</f>
        <v>288190.17000000004</v>
      </c>
      <c r="K267" s="499"/>
      <c r="L267" s="505">
        <v>239838.91637754298</v>
      </c>
      <c r="M267" s="458">
        <f>'TE25 Palveluiden rahoitus'!$J267*-0.5</f>
        <v>-144095.08500000002</v>
      </c>
      <c r="N267" s="458">
        <f t="shared" si="8"/>
        <v>95743.831377542956</v>
      </c>
      <c r="O267" s="510">
        <f t="shared" si="9"/>
        <v>383934.00137754303</v>
      </c>
      <c r="P267" s="474"/>
      <c r="Q267" s="514">
        <v>-22135.39</v>
      </c>
    </row>
    <row r="268" spans="1:17" ht="12.75">
      <c r="A268" s="474">
        <v>846</v>
      </c>
      <c r="B268" s="474" t="s">
        <v>268</v>
      </c>
      <c r="C268" s="459">
        <v>2285</v>
      </c>
      <c r="D268" s="459">
        <v>254</v>
      </c>
      <c r="E268" s="459">
        <v>114</v>
      </c>
      <c r="G268" s="493">
        <f>Taulukko3[[#This Row],[Väestö, 18-64-vuotiaat (2023)]]*Taulukko4[Perushinnat, €]</f>
        <v>219382.85</v>
      </c>
      <c r="H268" s="461">
        <f>Taulukko3[[#This Row],[Työttömät ja palveluissa olevat (2023)]]*Taulukko4[[ ]]</f>
        <v>214523.32</v>
      </c>
      <c r="I268" s="461">
        <f>Taulukko3[[#This Row],[Vieraskieliset (2023)]]*Taulukko4[[  ]]</f>
        <v>6754.5</v>
      </c>
      <c r="J268" s="494">
        <f>SUM('TE25 Palveluiden rahoitus'!$G268:$I268)</f>
        <v>440660.67000000004</v>
      </c>
      <c r="K268" s="499"/>
      <c r="L268" s="505">
        <v>179081.0594559396</v>
      </c>
      <c r="M268" s="458">
        <f>'TE25 Palveluiden rahoitus'!$J268*-0.5</f>
        <v>-220330.33500000002</v>
      </c>
      <c r="N268" s="458">
        <f t="shared" si="8"/>
        <v>-41249.275544060423</v>
      </c>
      <c r="O268" s="510">
        <f t="shared" si="9"/>
        <v>399411.39445593959</v>
      </c>
      <c r="P268" s="474"/>
      <c r="Q268" s="514">
        <v>-35897.35</v>
      </c>
    </row>
    <row r="269" spans="1:17" ht="12.75">
      <c r="A269" s="474">
        <v>848</v>
      </c>
      <c r="B269" s="474" t="s">
        <v>269</v>
      </c>
      <c r="C269" s="459">
        <v>1964</v>
      </c>
      <c r="D269" s="459">
        <v>363</v>
      </c>
      <c r="E269" s="459">
        <v>240</v>
      </c>
      <c r="G269" s="493">
        <f>Taulukko3[[#This Row],[Väestö, 18-64-vuotiaat (2023)]]*Taulukko4[Perushinnat, €]</f>
        <v>188563.64</v>
      </c>
      <c r="H269" s="461">
        <f>Taulukko3[[#This Row],[Työttömät ja palveluissa olevat (2023)]]*Taulukko4[[ ]]</f>
        <v>306582.54000000004</v>
      </c>
      <c r="I269" s="461">
        <f>Taulukko3[[#This Row],[Vieraskieliset (2023)]]*Taulukko4[[  ]]</f>
        <v>14220</v>
      </c>
      <c r="J269" s="494">
        <f>SUM('TE25 Palveluiden rahoitus'!$G269:$I269)</f>
        <v>509366.18000000005</v>
      </c>
      <c r="K269" s="499"/>
      <c r="L269" s="505">
        <v>577083.99601722357</v>
      </c>
      <c r="M269" s="458">
        <f>'TE25 Palveluiden rahoitus'!$J269*-0.5</f>
        <v>-254683.09000000003</v>
      </c>
      <c r="N269" s="458">
        <f t="shared" ref="N269:N304" si="10">L269+M269</f>
        <v>322400.90601722355</v>
      </c>
      <c r="O269" s="510">
        <f t="shared" ref="O269:O304" si="11">J269+L269+M269</f>
        <v>831767.08601722354</v>
      </c>
      <c r="P269" s="474"/>
      <c r="Q269" s="514">
        <v>-30854.440000000002</v>
      </c>
    </row>
    <row r="270" spans="1:17" ht="12.75">
      <c r="A270" s="474">
        <v>849</v>
      </c>
      <c r="B270" s="474" t="s">
        <v>270</v>
      </c>
      <c r="C270" s="459">
        <v>1381</v>
      </c>
      <c r="D270" s="459">
        <v>122</v>
      </c>
      <c r="E270" s="459">
        <v>64</v>
      </c>
      <c r="G270" s="493">
        <f>Taulukko3[[#This Row],[Väestö, 18-64-vuotiaat (2023)]]*Taulukko4[Perushinnat, €]</f>
        <v>132589.81</v>
      </c>
      <c r="H270" s="461">
        <f>Taulukko3[[#This Row],[Työttömät ja palveluissa olevat (2023)]]*Taulukko4[[ ]]</f>
        <v>103038.76000000001</v>
      </c>
      <c r="I270" s="461">
        <f>Taulukko3[[#This Row],[Vieraskieliset (2023)]]*Taulukko4[[  ]]</f>
        <v>3792</v>
      </c>
      <c r="J270" s="494">
        <f>SUM('TE25 Palveluiden rahoitus'!$G270:$I270)</f>
        <v>239420.57</v>
      </c>
      <c r="K270" s="499"/>
      <c r="L270" s="505">
        <v>120014.15096300071</v>
      </c>
      <c r="M270" s="458">
        <f>'TE25 Palveluiden rahoitus'!$J270*-0.5</f>
        <v>-119710.285</v>
      </c>
      <c r="N270" s="458">
        <f t="shared" si="10"/>
        <v>303.86596300070232</v>
      </c>
      <c r="O270" s="510">
        <f t="shared" si="11"/>
        <v>239724.43596300072</v>
      </c>
      <c r="P270" s="474"/>
      <c r="Q270" s="514">
        <v>-21695.510000000002</v>
      </c>
    </row>
    <row r="271" spans="1:17" ht="12.75">
      <c r="A271" s="474">
        <v>850</v>
      </c>
      <c r="B271" s="474" t="s">
        <v>271</v>
      </c>
      <c r="C271" s="459">
        <v>1161</v>
      </c>
      <c r="D271" s="459">
        <v>114</v>
      </c>
      <c r="E271" s="459">
        <v>39</v>
      </c>
      <c r="G271" s="493">
        <f>Taulukko3[[#This Row],[Väestö, 18-64-vuotiaat (2023)]]*Taulukko4[Perushinnat, €]</f>
        <v>111467.61</v>
      </c>
      <c r="H271" s="461">
        <f>Taulukko3[[#This Row],[Työttömät ja palveluissa olevat (2023)]]*Taulukko4[[ ]]</f>
        <v>96282.12000000001</v>
      </c>
      <c r="I271" s="461">
        <f>Taulukko3[[#This Row],[Vieraskieliset (2023)]]*Taulukko4[[  ]]</f>
        <v>2310.75</v>
      </c>
      <c r="J271" s="494">
        <f>SUM('TE25 Palveluiden rahoitus'!$G271:$I271)</f>
        <v>210060.48</v>
      </c>
      <c r="K271" s="499"/>
      <c r="L271" s="505">
        <v>99251.3777869185</v>
      </c>
      <c r="M271" s="458">
        <f>'TE25 Palveluiden rahoitus'!$J271*-0.5</f>
        <v>-105030.24</v>
      </c>
      <c r="N271" s="458">
        <f t="shared" si="10"/>
        <v>-5778.8622130815056</v>
      </c>
      <c r="O271" s="510">
        <f t="shared" si="11"/>
        <v>204281.61778691853</v>
      </c>
      <c r="P271" s="474"/>
      <c r="Q271" s="514">
        <v>-18239.310000000001</v>
      </c>
    </row>
    <row r="272" spans="1:17" ht="12.75">
      <c r="A272" s="474">
        <v>851</v>
      </c>
      <c r="B272" s="474" t="s">
        <v>272</v>
      </c>
      <c r="C272" s="459">
        <v>11394</v>
      </c>
      <c r="D272" s="459">
        <v>1266</v>
      </c>
      <c r="E272" s="459">
        <v>706</v>
      </c>
      <c r="G272" s="493">
        <f>Taulukko3[[#This Row],[Väestö, 18-64-vuotiaat (2023)]]*Taulukko4[Perushinnat, €]</f>
        <v>1093937.94</v>
      </c>
      <c r="H272" s="461">
        <f>Taulukko3[[#This Row],[Työttömät ja palveluissa olevat (2023)]]*Taulukko4[[ ]]</f>
        <v>1069238.28</v>
      </c>
      <c r="I272" s="461">
        <f>Taulukko3[[#This Row],[Vieraskieliset (2023)]]*Taulukko4[[  ]]</f>
        <v>41830.5</v>
      </c>
      <c r="J272" s="494">
        <f>SUM('TE25 Palveluiden rahoitus'!$G272:$I272)</f>
        <v>2205006.7199999997</v>
      </c>
      <c r="K272" s="499"/>
      <c r="L272" s="505">
        <v>1603822.804576078</v>
      </c>
      <c r="M272" s="458">
        <f>'TE25 Palveluiden rahoitus'!$J272*-0.5</f>
        <v>-1102503.3599999999</v>
      </c>
      <c r="N272" s="458">
        <f t="shared" si="10"/>
        <v>501319.44457607809</v>
      </c>
      <c r="O272" s="510">
        <f t="shared" si="11"/>
        <v>2706326.1645760778</v>
      </c>
      <c r="P272" s="474"/>
      <c r="Q272" s="514">
        <v>-178999.74000000002</v>
      </c>
    </row>
    <row r="273" spans="1:17" ht="12.75">
      <c r="A273" s="474">
        <v>853</v>
      </c>
      <c r="B273" s="474" t="s">
        <v>273</v>
      </c>
      <c r="C273" s="459">
        <v>130708</v>
      </c>
      <c r="D273" s="459">
        <v>16907</v>
      </c>
      <c r="E273" s="459">
        <v>30862</v>
      </c>
      <c r="G273" s="493">
        <f>Taulukko3[[#This Row],[Väestö, 18-64-vuotiaat (2023)]]*Taulukko4[Perushinnat, €]</f>
        <v>12549275.08</v>
      </c>
      <c r="H273" s="461">
        <f>Taulukko3[[#This Row],[Työttömät ja palveluissa olevat (2023)]]*Taulukko4[[ ]]</f>
        <v>14279314.060000001</v>
      </c>
      <c r="I273" s="461">
        <f>Taulukko3[[#This Row],[Vieraskieliset (2023)]]*Taulukko4[[  ]]</f>
        <v>1828573.5</v>
      </c>
      <c r="J273" s="494">
        <f>SUM('TE25 Palveluiden rahoitus'!$G273:$I273)</f>
        <v>28657162.640000001</v>
      </c>
      <c r="K273" s="499"/>
      <c r="L273" s="505">
        <v>14489521.574643737</v>
      </c>
      <c r="M273" s="458">
        <f>'TE25 Palveluiden rahoitus'!$J273*-0.5</f>
        <v>-14328581.32</v>
      </c>
      <c r="N273" s="458">
        <f t="shared" si="10"/>
        <v>160940.25464373641</v>
      </c>
      <c r="O273" s="510">
        <f t="shared" si="11"/>
        <v>28818102.894643739</v>
      </c>
      <c r="P273" s="474"/>
      <c r="Q273" s="514">
        <v>-2053422.6800000002</v>
      </c>
    </row>
    <row r="274" spans="1:17" ht="12.75">
      <c r="A274" s="474">
        <v>854</v>
      </c>
      <c r="B274" s="474" t="s">
        <v>274</v>
      </c>
      <c r="C274" s="459">
        <v>1462</v>
      </c>
      <c r="D274" s="459">
        <v>193</v>
      </c>
      <c r="E274" s="459">
        <v>70</v>
      </c>
      <c r="G274" s="493">
        <f>Taulukko3[[#This Row],[Väestö, 18-64-vuotiaat (2023)]]*Taulukko4[Perushinnat, €]</f>
        <v>140366.62</v>
      </c>
      <c r="H274" s="461">
        <f>Taulukko3[[#This Row],[Työttömät ja palveluissa olevat (2023)]]*Taulukko4[[ ]]</f>
        <v>163003.94</v>
      </c>
      <c r="I274" s="461">
        <f>Taulukko3[[#This Row],[Vieraskieliset (2023)]]*Taulukko4[[  ]]</f>
        <v>4147.5</v>
      </c>
      <c r="J274" s="494">
        <f>SUM('TE25 Palveluiden rahoitus'!$G274:$I274)</f>
        <v>307518.06</v>
      </c>
      <c r="K274" s="499"/>
      <c r="L274" s="505">
        <v>253838.10184300493</v>
      </c>
      <c r="M274" s="458">
        <f>'TE25 Palveluiden rahoitus'!$J274*-0.5</f>
        <v>-153759.03</v>
      </c>
      <c r="N274" s="458">
        <f t="shared" si="10"/>
        <v>100079.07184300493</v>
      </c>
      <c r="O274" s="510">
        <f t="shared" si="11"/>
        <v>407597.13184300484</v>
      </c>
      <c r="P274" s="474"/>
      <c r="Q274" s="514">
        <v>-22968.02</v>
      </c>
    </row>
    <row r="275" spans="1:17" ht="12.75">
      <c r="A275" s="474">
        <v>857</v>
      </c>
      <c r="B275" s="474" t="s">
        <v>275</v>
      </c>
      <c r="C275" s="459">
        <v>1093</v>
      </c>
      <c r="D275" s="459">
        <v>133</v>
      </c>
      <c r="E275" s="459">
        <v>55</v>
      </c>
      <c r="G275" s="493">
        <f>Taulukko3[[#This Row],[Väestö, 18-64-vuotiaat (2023)]]*Taulukko4[Perushinnat, €]</f>
        <v>104938.93000000001</v>
      </c>
      <c r="H275" s="461">
        <f>Taulukko3[[#This Row],[Työttömät ja palveluissa olevat (2023)]]*Taulukko4[[ ]]</f>
        <v>112329.14</v>
      </c>
      <c r="I275" s="461">
        <f>Taulukko3[[#This Row],[Vieraskieliset (2023)]]*Taulukko4[[  ]]</f>
        <v>3258.75</v>
      </c>
      <c r="J275" s="494">
        <f>SUM('TE25 Palveluiden rahoitus'!$G275:$I275)</f>
        <v>220526.82</v>
      </c>
      <c r="K275" s="499"/>
      <c r="L275" s="505">
        <v>124720.78663361364</v>
      </c>
      <c r="M275" s="458">
        <f>'TE25 Palveluiden rahoitus'!$J275*-0.5</f>
        <v>-110263.41</v>
      </c>
      <c r="N275" s="458">
        <f t="shared" si="10"/>
        <v>14457.376633613632</v>
      </c>
      <c r="O275" s="510">
        <f t="shared" si="11"/>
        <v>234984.19663361364</v>
      </c>
      <c r="P275" s="474"/>
      <c r="Q275" s="514">
        <v>-17171.030000000002</v>
      </c>
    </row>
    <row r="276" spans="1:17" ht="12.75">
      <c r="A276" s="474">
        <v>858</v>
      </c>
      <c r="B276" s="474" t="s">
        <v>276</v>
      </c>
      <c r="C276" s="459">
        <v>24737</v>
      </c>
      <c r="D276" s="459">
        <v>1871</v>
      </c>
      <c r="E276" s="459">
        <v>3372</v>
      </c>
      <c r="G276" s="493">
        <f>Taulukko3[[#This Row],[Väestö, 18-64-vuotiaat (2023)]]*Taulukko4[Perushinnat, €]</f>
        <v>2374999.37</v>
      </c>
      <c r="H276" s="461">
        <f>Taulukko3[[#This Row],[Työttömät ja palveluissa olevat (2023)]]*Taulukko4[[ ]]</f>
        <v>1580209.1800000002</v>
      </c>
      <c r="I276" s="461">
        <f>Taulukko3[[#This Row],[Vieraskieliset (2023)]]*Taulukko4[[  ]]</f>
        <v>199791</v>
      </c>
      <c r="J276" s="494">
        <f>SUM('TE25 Palveluiden rahoitus'!$G276:$I276)</f>
        <v>4154999.5500000003</v>
      </c>
      <c r="K276" s="499"/>
      <c r="L276" s="505">
        <v>1442433.4987849698</v>
      </c>
      <c r="M276" s="458">
        <f>'TE25 Palveluiden rahoitus'!$J276*-0.5</f>
        <v>-2077499.7750000001</v>
      </c>
      <c r="N276" s="458">
        <f t="shared" si="10"/>
        <v>-635066.27621503035</v>
      </c>
      <c r="O276" s="510">
        <f t="shared" si="11"/>
        <v>3519933.2737849699</v>
      </c>
      <c r="P276" s="474"/>
      <c r="Q276" s="514">
        <v>-388618.27</v>
      </c>
    </row>
    <row r="277" spans="1:17" ht="12.75">
      <c r="A277" s="474">
        <v>859</v>
      </c>
      <c r="B277" s="474" t="s">
        <v>277</v>
      </c>
      <c r="C277" s="459">
        <v>3258</v>
      </c>
      <c r="D277" s="459">
        <v>292</v>
      </c>
      <c r="E277" s="459">
        <v>65</v>
      </c>
      <c r="G277" s="493">
        <f>Taulukko3[[#This Row],[Väestö, 18-64-vuotiaat (2023)]]*Taulukko4[Perushinnat, €]</f>
        <v>312800.58</v>
      </c>
      <c r="H277" s="461">
        <f>Taulukko3[[#This Row],[Työttömät ja palveluissa olevat (2023)]]*Taulukko4[[ ]]</f>
        <v>246617.36000000002</v>
      </c>
      <c r="I277" s="461">
        <f>Taulukko3[[#This Row],[Vieraskieliset (2023)]]*Taulukko4[[  ]]</f>
        <v>3851.25</v>
      </c>
      <c r="J277" s="494">
        <f>SUM('TE25 Palveluiden rahoitus'!$G277:$I277)</f>
        <v>563269.19000000006</v>
      </c>
      <c r="K277" s="499"/>
      <c r="L277" s="505">
        <v>275411.01015239483</v>
      </c>
      <c r="M277" s="458">
        <f>'TE25 Palveluiden rahoitus'!$J277*-0.5</f>
        <v>-281634.59500000003</v>
      </c>
      <c r="N277" s="458">
        <f t="shared" si="10"/>
        <v>-6223.5848476052051</v>
      </c>
      <c r="O277" s="510">
        <f t="shared" si="11"/>
        <v>557045.60515239486</v>
      </c>
      <c r="P277" s="474"/>
      <c r="Q277" s="514">
        <v>-51183.18</v>
      </c>
    </row>
    <row r="278" spans="1:17" ht="12.75">
      <c r="A278" s="474">
        <v>886</v>
      </c>
      <c r="B278" s="474" t="s">
        <v>278</v>
      </c>
      <c r="C278" s="459">
        <v>6569</v>
      </c>
      <c r="D278" s="459">
        <v>578</v>
      </c>
      <c r="E278" s="459">
        <v>354</v>
      </c>
      <c r="G278" s="493">
        <f>Taulukko3[[#This Row],[Väestö, 18-64-vuotiaat (2023)]]*Taulukko4[Perushinnat, €]</f>
        <v>630689.69000000006</v>
      </c>
      <c r="H278" s="461">
        <f>Taulukko3[[#This Row],[Työttömät ja palveluissa olevat (2023)]]*Taulukko4[[ ]]</f>
        <v>488167.24000000005</v>
      </c>
      <c r="I278" s="461">
        <f>Taulukko3[[#This Row],[Vieraskieliset (2023)]]*Taulukko4[[  ]]</f>
        <v>20974.5</v>
      </c>
      <c r="J278" s="494">
        <f>SUM('TE25 Palveluiden rahoitus'!$G278:$I278)</f>
        <v>1139831.4300000002</v>
      </c>
      <c r="K278" s="499"/>
      <c r="L278" s="505">
        <v>514348.22758169181</v>
      </c>
      <c r="M278" s="458">
        <f>'TE25 Palveluiden rahoitus'!$J278*-0.5</f>
        <v>-569915.71500000008</v>
      </c>
      <c r="N278" s="458">
        <f t="shared" si="10"/>
        <v>-55567.487418308272</v>
      </c>
      <c r="O278" s="510">
        <f t="shared" si="11"/>
        <v>1084263.942581692</v>
      </c>
      <c r="P278" s="474"/>
      <c r="Q278" s="514">
        <v>-103198.99</v>
      </c>
    </row>
    <row r="279" spans="1:17" ht="12.75">
      <c r="A279" s="474">
        <v>887</v>
      </c>
      <c r="B279" s="474" t="s">
        <v>279</v>
      </c>
      <c r="C279" s="459">
        <v>2272</v>
      </c>
      <c r="D279" s="459">
        <v>337</v>
      </c>
      <c r="E279" s="459">
        <v>144</v>
      </c>
      <c r="G279" s="493">
        <f>Taulukko3[[#This Row],[Väestö, 18-64-vuotiaat (2023)]]*Taulukko4[Perushinnat, €]</f>
        <v>218134.72</v>
      </c>
      <c r="H279" s="461">
        <f>Taulukko3[[#This Row],[Työttömät ja palveluissa olevat (2023)]]*Taulukko4[[ ]]</f>
        <v>284623.46000000002</v>
      </c>
      <c r="I279" s="461">
        <f>Taulukko3[[#This Row],[Vieraskieliset (2023)]]*Taulukko4[[  ]]</f>
        <v>8532</v>
      </c>
      <c r="J279" s="494">
        <f>SUM('TE25 Palveluiden rahoitus'!$G279:$I279)</f>
        <v>511290.18000000005</v>
      </c>
      <c r="K279" s="499"/>
      <c r="L279" s="505">
        <v>225643.20912759053</v>
      </c>
      <c r="M279" s="458">
        <f>'TE25 Palveluiden rahoitus'!$J279*-0.5</f>
        <v>-255645.09000000003</v>
      </c>
      <c r="N279" s="458">
        <f t="shared" si="10"/>
        <v>-30001.8808724095</v>
      </c>
      <c r="O279" s="510">
        <f t="shared" si="11"/>
        <v>481288.29912759055</v>
      </c>
      <c r="P279" s="474"/>
      <c r="Q279" s="514">
        <v>-35693.120000000003</v>
      </c>
    </row>
    <row r="280" spans="1:17" ht="12.75">
      <c r="A280" s="474">
        <v>889</v>
      </c>
      <c r="B280" s="474" t="s">
        <v>280</v>
      </c>
      <c r="C280" s="459">
        <v>1210</v>
      </c>
      <c r="D280" s="459">
        <v>158</v>
      </c>
      <c r="E280" s="459">
        <v>77</v>
      </c>
      <c r="G280" s="493">
        <f>Taulukko3[[#This Row],[Väestö, 18-64-vuotiaat (2023)]]*Taulukko4[Perushinnat, €]</f>
        <v>116172.1</v>
      </c>
      <c r="H280" s="461">
        <f>Taulukko3[[#This Row],[Työttömät ja palveluissa olevat (2023)]]*Taulukko4[[ ]]</f>
        <v>133443.64000000001</v>
      </c>
      <c r="I280" s="461">
        <f>Taulukko3[[#This Row],[Vieraskieliset (2023)]]*Taulukko4[[  ]]</f>
        <v>4562.25</v>
      </c>
      <c r="J280" s="494">
        <f>SUM('TE25 Palveluiden rahoitus'!$G280:$I280)</f>
        <v>254177.99000000002</v>
      </c>
      <c r="K280" s="499"/>
      <c r="L280" s="505">
        <v>230941.27619240616</v>
      </c>
      <c r="M280" s="458">
        <f>'TE25 Palveluiden rahoitus'!$J280*-0.5</f>
        <v>-127088.99500000001</v>
      </c>
      <c r="N280" s="458">
        <f t="shared" si="10"/>
        <v>103852.28119240615</v>
      </c>
      <c r="O280" s="510">
        <f t="shared" si="11"/>
        <v>358030.27119240619</v>
      </c>
      <c r="P280" s="474"/>
      <c r="Q280" s="514">
        <v>-19009.100000000002</v>
      </c>
    </row>
    <row r="281" spans="1:17" ht="12.75">
      <c r="A281" s="474">
        <v>890</v>
      </c>
      <c r="B281" s="474" t="s">
        <v>281</v>
      </c>
      <c r="C281" s="459">
        <v>600</v>
      </c>
      <c r="D281" s="459">
        <v>56</v>
      </c>
      <c r="E281" s="459">
        <v>50</v>
      </c>
      <c r="G281" s="493">
        <f>Taulukko3[[#This Row],[Väestö, 18-64-vuotiaat (2023)]]*Taulukko4[Perushinnat, €]</f>
        <v>57606</v>
      </c>
      <c r="H281" s="461">
        <f>Taulukko3[[#This Row],[Työttömät ja palveluissa olevat (2023)]]*Taulukko4[[ ]]</f>
        <v>47296.480000000003</v>
      </c>
      <c r="I281" s="461">
        <f>Taulukko3[[#This Row],[Vieraskieliset (2023)]]*Taulukko4[[  ]]</f>
        <v>2962.5</v>
      </c>
      <c r="J281" s="494">
        <f>SUM('TE25 Palveluiden rahoitus'!$G281:$I281)</f>
        <v>107864.98000000001</v>
      </c>
      <c r="K281" s="499"/>
      <c r="L281" s="505">
        <v>43008.939121354575</v>
      </c>
      <c r="M281" s="458">
        <f>'TE25 Palveluiden rahoitus'!$J281*-0.5</f>
        <v>-53932.490000000005</v>
      </c>
      <c r="N281" s="458">
        <f t="shared" si="10"/>
        <v>-10923.55087864543</v>
      </c>
      <c r="O281" s="510">
        <f t="shared" si="11"/>
        <v>96941.42912135458</v>
      </c>
      <c r="P281" s="474"/>
      <c r="Q281" s="514">
        <v>-9426</v>
      </c>
    </row>
    <row r="282" spans="1:17" ht="12.75">
      <c r="A282" s="474">
        <v>892</v>
      </c>
      <c r="B282" s="474" t="s">
        <v>282</v>
      </c>
      <c r="C282" s="459">
        <v>1815</v>
      </c>
      <c r="D282" s="459">
        <v>224</v>
      </c>
      <c r="E282" s="459">
        <v>58</v>
      </c>
      <c r="G282" s="493">
        <f>Taulukko3[[#This Row],[Väestö, 18-64-vuotiaat (2023)]]*Taulukko4[Perushinnat, €]</f>
        <v>174258.15000000002</v>
      </c>
      <c r="H282" s="461">
        <f>Taulukko3[[#This Row],[Työttömät ja palveluissa olevat (2023)]]*Taulukko4[[ ]]</f>
        <v>189185.92000000001</v>
      </c>
      <c r="I282" s="461">
        <f>Taulukko3[[#This Row],[Vieraskieliset (2023)]]*Taulukko4[[  ]]</f>
        <v>3436.5</v>
      </c>
      <c r="J282" s="494">
        <f>SUM('TE25 Palveluiden rahoitus'!$G282:$I282)</f>
        <v>366880.57000000007</v>
      </c>
      <c r="K282" s="499"/>
      <c r="L282" s="505">
        <v>170793.69454035923</v>
      </c>
      <c r="M282" s="458">
        <f>'TE25 Palveluiden rahoitus'!$J282*-0.5</f>
        <v>-183440.28500000003</v>
      </c>
      <c r="N282" s="458">
        <f t="shared" si="10"/>
        <v>-12646.590459640807</v>
      </c>
      <c r="O282" s="510">
        <f t="shared" si="11"/>
        <v>354233.97954035923</v>
      </c>
      <c r="P282" s="474"/>
      <c r="Q282" s="514">
        <v>-28513.65</v>
      </c>
    </row>
    <row r="283" spans="1:17" ht="12.75">
      <c r="A283" s="474">
        <v>893</v>
      </c>
      <c r="B283" s="474" t="s">
        <v>283</v>
      </c>
      <c r="C283" s="459">
        <v>3905</v>
      </c>
      <c r="D283" s="459">
        <v>273</v>
      </c>
      <c r="E283" s="459">
        <v>733</v>
      </c>
      <c r="G283" s="493">
        <f>Taulukko3[[#This Row],[Väestö, 18-64-vuotiaat (2023)]]*Taulukko4[Perushinnat, €]</f>
        <v>374919.05000000005</v>
      </c>
      <c r="H283" s="461">
        <f>Taulukko3[[#This Row],[Työttömät ja palveluissa olevat (2023)]]*Taulukko4[[ ]]</f>
        <v>230570.34000000003</v>
      </c>
      <c r="I283" s="461">
        <f>Taulukko3[[#This Row],[Vieraskieliset (2023)]]*Taulukko4[[  ]]</f>
        <v>43430.25</v>
      </c>
      <c r="J283" s="494">
        <f>SUM('TE25 Palveluiden rahoitus'!$G283:$I283)</f>
        <v>648919.64000000013</v>
      </c>
      <c r="K283" s="499"/>
      <c r="L283" s="505">
        <v>209111.98692146764</v>
      </c>
      <c r="M283" s="458">
        <f>'TE25 Palveluiden rahoitus'!$J283*-0.5</f>
        <v>-324459.82000000007</v>
      </c>
      <c r="N283" s="458">
        <f t="shared" si="10"/>
        <v>-115347.83307853242</v>
      </c>
      <c r="O283" s="510">
        <f t="shared" si="11"/>
        <v>533571.80692146765</v>
      </c>
      <c r="P283" s="474"/>
      <c r="Q283" s="514">
        <v>-61347.55</v>
      </c>
    </row>
    <row r="284" spans="1:17" ht="12.75">
      <c r="A284" s="474">
        <v>895</v>
      </c>
      <c r="B284" s="474" t="s">
        <v>284</v>
      </c>
      <c r="C284" s="459">
        <v>7881</v>
      </c>
      <c r="D284" s="459">
        <v>1068</v>
      </c>
      <c r="E284" s="459">
        <v>1209</v>
      </c>
      <c r="G284" s="493">
        <f>Taulukko3[[#This Row],[Väestö, 18-64-vuotiaat (2023)]]*Taulukko4[Perushinnat, €]</f>
        <v>756654.81</v>
      </c>
      <c r="H284" s="461">
        <f>Taulukko3[[#This Row],[Työttömät ja palveluissa olevat (2023)]]*Taulukko4[[ ]]</f>
        <v>902011.44000000006</v>
      </c>
      <c r="I284" s="461">
        <f>Taulukko3[[#This Row],[Vieraskieliset (2023)]]*Taulukko4[[  ]]</f>
        <v>71633.25</v>
      </c>
      <c r="J284" s="494">
        <f>SUM('TE25 Palveluiden rahoitus'!$G284:$I284)</f>
        <v>1730299.5</v>
      </c>
      <c r="K284" s="499"/>
      <c r="L284" s="505">
        <v>678436.48626298597</v>
      </c>
      <c r="M284" s="458">
        <f>'TE25 Palveluiden rahoitus'!$J284*-0.5</f>
        <v>-865149.75</v>
      </c>
      <c r="N284" s="458">
        <f t="shared" si="10"/>
        <v>-186713.26373701403</v>
      </c>
      <c r="O284" s="510">
        <f t="shared" si="11"/>
        <v>1543586.236262986</v>
      </c>
      <c r="P284" s="474"/>
      <c r="Q284" s="514">
        <v>-123810.51000000001</v>
      </c>
    </row>
    <row r="285" spans="1:17" ht="12.75">
      <c r="A285" s="474">
        <v>905</v>
      </c>
      <c r="B285" s="474" t="s">
        <v>285</v>
      </c>
      <c r="C285" s="459">
        <v>42721</v>
      </c>
      <c r="D285" s="459">
        <v>3943</v>
      </c>
      <c r="E285" s="459">
        <v>8312</v>
      </c>
      <c r="G285" s="493">
        <f>Taulukko3[[#This Row],[Väestö, 18-64-vuotiaat (2023)]]*Taulukko4[Perushinnat, €]</f>
        <v>4101643.2100000004</v>
      </c>
      <c r="H285" s="461">
        <f>Taulukko3[[#This Row],[Työttömät ja palveluissa olevat (2023)]]*Taulukko4[[ ]]</f>
        <v>3330178.94</v>
      </c>
      <c r="I285" s="461">
        <f>Taulukko3[[#This Row],[Vieraskieliset (2023)]]*Taulukko4[[  ]]</f>
        <v>492486</v>
      </c>
      <c r="J285" s="494">
        <f>SUM('TE25 Palveluiden rahoitus'!$G285:$I285)</f>
        <v>7924308.1500000004</v>
      </c>
      <c r="K285" s="499"/>
      <c r="L285" s="505">
        <v>4547519.4348805901</v>
      </c>
      <c r="M285" s="458">
        <f>'TE25 Palveluiden rahoitus'!$J285*-0.5</f>
        <v>-3962154.0750000002</v>
      </c>
      <c r="N285" s="458">
        <f t="shared" si="10"/>
        <v>585365.35988058988</v>
      </c>
      <c r="O285" s="510">
        <f t="shared" si="11"/>
        <v>8509673.5098805912</v>
      </c>
      <c r="P285" s="474"/>
      <c r="Q285" s="514">
        <v>-671146.91</v>
      </c>
    </row>
    <row r="286" spans="1:17" ht="12.75">
      <c r="A286" s="474">
        <v>908</v>
      </c>
      <c r="B286" s="474" t="s">
        <v>286</v>
      </c>
      <c r="C286" s="459">
        <v>11040</v>
      </c>
      <c r="D286" s="459">
        <v>1373</v>
      </c>
      <c r="E286" s="459">
        <v>1055</v>
      </c>
      <c r="G286" s="493">
        <f>Taulukko3[[#This Row],[Väestö, 18-64-vuotiaat (2023)]]*Taulukko4[Perushinnat, €]</f>
        <v>1059950.4000000001</v>
      </c>
      <c r="H286" s="461">
        <f>Taulukko3[[#This Row],[Työttömät ja palveluissa olevat (2023)]]*Taulukko4[[ ]]</f>
        <v>1159608.3400000001</v>
      </c>
      <c r="I286" s="461">
        <f>Taulukko3[[#This Row],[Vieraskieliset (2023)]]*Taulukko4[[  ]]</f>
        <v>62508.75</v>
      </c>
      <c r="J286" s="494">
        <f>SUM('TE25 Palveluiden rahoitus'!$G286:$I286)</f>
        <v>2282067.4900000002</v>
      </c>
      <c r="K286" s="499"/>
      <c r="L286" s="505">
        <v>921088.07493816887</v>
      </c>
      <c r="M286" s="458">
        <f>'TE25 Palveluiden rahoitus'!$J286*-0.5</f>
        <v>-1141033.7450000001</v>
      </c>
      <c r="N286" s="458">
        <f t="shared" si="10"/>
        <v>-219945.67006183125</v>
      </c>
      <c r="O286" s="510">
        <f t="shared" si="11"/>
        <v>2062121.8199381689</v>
      </c>
      <c r="P286" s="474"/>
      <c r="Q286" s="514">
        <v>-173438.40000000002</v>
      </c>
    </row>
    <row r="287" spans="1:17" ht="12.75">
      <c r="A287" s="474">
        <v>915</v>
      </c>
      <c r="B287" s="474" t="s">
        <v>287</v>
      </c>
      <c r="C287" s="459">
        <v>10248</v>
      </c>
      <c r="D287" s="459">
        <v>1607</v>
      </c>
      <c r="E287" s="459">
        <v>957</v>
      </c>
      <c r="G287" s="493">
        <f>Taulukko3[[#This Row],[Väestö, 18-64-vuotiaat (2023)]]*Taulukko4[Perushinnat, €]</f>
        <v>983910.4800000001</v>
      </c>
      <c r="H287" s="461">
        <f>Taulukko3[[#This Row],[Työttömät ja palveluissa olevat (2023)]]*Taulukko4[[ ]]</f>
        <v>1357240.06</v>
      </c>
      <c r="I287" s="461">
        <f>Taulukko3[[#This Row],[Vieraskieliset (2023)]]*Taulukko4[[  ]]</f>
        <v>56702.25</v>
      </c>
      <c r="J287" s="494">
        <f>SUM('TE25 Palveluiden rahoitus'!$G287:$I287)</f>
        <v>2397852.79</v>
      </c>
      <c r="K287" s="499"/>
      <c r="L287" s="505">
        <v>1633437.5472852262</v>
      </c>
      <c r="M287" s="458">
        <f>'TE25 Palveluiden rahoitus'!$J287*-0.5</f>
        <v>-1198926.395</v>
      </c>
      <c r="N287" s="458">
        <f t="shared" si="10"/>
        <v>434511.15228522616</v>
      </c>
      <c r="O287" s="510">
        <f t="shared" si="11"/>
        <v>2832363.9422852262</v>
      </c>
      <c r="P287" s="474"/>
      <c r="Q287" s="514">
        <v>-160996.08000000002</v>
      </c>
    </row>
    <row r="288" spans="1:17" ht="12.75">
      <c r="A288" s="474">
        <v>918</v>
      </c>
      <c r="B288" s="474" t="s">
        <v>288</v>
      </c>
      <c r="C288" s="459">
        <v>1184</v>
      </c>
      <c r="D288" s="459">
        <v>115</v>
      </c>
      <c r="E288" s="459">
        <v>123</v>
      </c>
      <c r="G288" s="493">
        <f>Taulukko3[[#This Row],[Väestö, 18-64-vuotiaat (2023)]]*Taulukko4[Perushinnat, €]</f>
        <v>113675.84000000001</v>
      </c>
      <c r="H288" s="461">
        <f>Taulukko3[[#This Row],[Työttömät ja palveluissa olevat (2023)]]*Taulukko4[[ ]]</f>
        <v>97126.700000000012</v>
      </c>
      <c r="I288" s="461">
        <f>Taulukko3[[#This Row],[Vieraskieliset (2023)]]*Taulukko4[[  ]]</f>
        <v>7287.75</v>
      </c>
      <c r="J288" s="494">
        <f>SUM('TE25 Palveluiden rahoitus'!$G288:$I288)</f>
        <v>218090.29000000004</v>
      </c>
      <c r="K288" s="499"/>
      <c r="L288" s="505">
        <v>51895.167602466441</v>
      </c>
      <c r="M288" s="458">
        <f>'TE25 Palveluiden rahoitus'!$J288*-0.5</f>
        <v>-109045.14500000002</v>
      </c>
      <c r="N288" s="458">
        <f t="shared" si="10"/>
        <v>-57149.977397533577</v>
      </c>
      <c r="O288" s="510">
        <f t="shared" si="11"/>
        <v>160940.31260246644</v>
      </c>
      <c r="P288" s="474"/>
      <c r="Q288" s="514">
        <v>-18600.64</v>
      </c>
    </row>
    <row r="289" spans="1:17" ht="12.75">
      <c r="A289" s="474">
        <v>921</v>
      </c>
      <c r="B289" s="474" t="s">
        <v>289</v>
      </c>
      <c r="C289" s="459">
        <v>864</v>
      </c>
      <c r="D289" s="459">
        <v>104</v>
      </c>
      <c r="E289" s="459">
        <v>49</v>
      </c>
      <c r="G289" s="493">
        <f>Taulukko3[[#This Row],[Väestö, 18-64-vuotiaat (2023)]]*Taulukko4[Perushinnat, €]</f>
        <v>82952.639999999999</v>
      </c>
      <c r="H289" s="461">
        <f>Taulukko3[[#This Row],[Työttömät ja palveluissa olevat (2023)]]*Taulukko4[[ ]]</f>
        <v>87836.32</v>
      </c>
      <c r="I289" s="461">
        <f>Taulukko3[[#This Row],[Vieraskieliset (2023)]]*Taulukko4[[  ]]</f>
        <v>2903.25</v>
      </c>
      <c r="J289" s="494">
        <f>SUM('TE25 Palveluiden rahoitus'!$G289:$I289)</f>
        <v>173692.21000000002</v>
      </c>
      <c r="K289" s="499"/>
      <c r="L289" s="505">
        <v>80447.780824242727</v>
      </c>
      <c r="M289" s="458">
        <f>'TE25 Palveluiden rahoitus'!$J289*-0.5</f>
        <v>-86846.10500000001</v>
      </c>
      <c r="N289" s="458">
        <f t="shared" si="10"/>
        <v>-6398.3241757572832</v>
      </c>
      <c r="O289" s="510">
        <f t="shared" si="11"/>
        <v>167293.88582424275</v>
      </c>
      <c r="P289" s="474"/>
      <c r="Q289" s="514">
        <v>-13573.44</v>
      </c>
    </row>
    <row r="290" spans="1:17" ht="12.75">
      <c r="A290" s="474">
        <v>922</v>
      </c>
      <c r="B290" s="474" t="s">
        <v>290</v>
      </c>
      <c r="C290" s="459">
        <v>2552</v>
      </c>
      <c r="D290" s="459">
        <v>196</v>
      </c>
      <c r="E290" s="459">
        <v>85</v>
      </c>
      <c r="G290" s="493">
        <f>Taulukko3[[#This Row],[Väestö, 18-64-vuotiaat (2023)]]*Taulukko4[Perushinnat, €]</f>
        <v>245017.52000000002</v>
      </c>
      <c r="H290" s="461">
        <f>Taulukko3[[#This Row],[Työttömät ja palveluissa olevat (2023)]]*Taulukko4[[ ]]</f>
        <v>165537.68000000002</v>
      </c>
      <c r="I290" s="461">
        <f>Taulukko3[[#This Row],[Vieraskieliset (2023)]]*Taulukko4[[  ]]</f>
        <v>5036.25</v>
      </c>
      <c r="J290" s="494">
        <f>SUM('TE25 Palveluiden rahoitus'!$G290:$I290)</f>
        <v>415591.45000000007</v>
      </c>
      <c r="K290" s="499"/>
      <c r="L290" s="505">
        <v>150450.03515584493</v>
      </c>
      <c r="M290" s="458">
        <f>'TE25 Palveluiden rahoitus'!$J290*-0.5</f>
        <v>-207795.72500000003</v>
      </c>
      <c r="N290" s="458">
        <f t="shared" si="10"/>
        <v>-57345.689844155102</v>
      </c>
      <c r="O290" s="510">
        <f t="shared" si="11"/>
        <v>358245.76015584503</v>
      </c>
      <c r="P290" s="474"/>
      <c r="Q290" s="514">
        <v>-40091.920000000006</v>
      </c>
    </row>
    <row r="291" spans="1:17" ht="12.75">
      <c r="A291" s="474">
        <v>924</v>
      </c>
      <c r="B291" s="474" t="s">
        <v>291</v>
      </c>
      <c r="C291" s="459">
        <v>1447</v>
      </c>
      <c r="D291" s="459">
        <v>133</v>
      </c>
      <c r="E291" s="459">
        <v>87</v>
      </c>
      <c r="G291" s="493">
        <f>Taulukko3[[#This Row],[Väestö, 18-64-vuotiaat (2023)]]*Taulukko4[Perushinnat, €]</f>
        <v>138926.47</v>
      </c>
      <c r="H291" s="461">
        <f>Taulukko3[[#This Row],[Työttömät ja palveluissa olevat (2023)]]*Taulukko4[[ ]]</f>
        <v>112329.14</v>
      </c>
      <c r="I291" s="461">
        <f>Taulukko3[[#This Row],[Vieraskieliset (2023)]]*Taulukko4[[  ]]</f>
        <v>5154.75</v>
      </c>
      <c r="J291" s="494">
        <f>SUM('TE25 Palveluiden rahoitus'!$G291:$I291)</f>
        <v>256410.36</v>
      </c>
      <c r="K291" s="499"/>
      <c r="L291" s="505">
        <v>91445.984551557427</v>
      </c>
      <c r="M291" s="458">
        <f>'TE25 Palveluiden rahoitus'!$J291*-0.5</f>
        <v>-128205.18</v>
      </c>
      <c r="N291" s="458">
        <f t="shared" si="10"/>
        <v>-36759.195448442566</v>
      </c>
      <c r="O291" s="510">
        <f t="shared" si="11"/>
        <v>219651.16455155745</v>
      </c>
      <c r="P291" s="474"/>
      <c r="Q291" s="514">
        <v>-22732.370000000003</v>
      </c>
    </row>
    <row r="292" spans="1:17" ht="12.75">
      <c r="A292" s="474">
        <v>925</v>
      </c>
      <c r="B292" s="474" t="s">
        <v>292</v>
      </c>
      <c r="C292" s="459">
        <v>1837</v>
      </c>
      <c r="D292" s="459">
        <v>163</v>
      </c>
      <c r="E292" s="459">
        <v>151</v>
      </c>
      <c r="G292" s="493">
        <f>Taulukko3[[#This Row],[Väestö, 18-64-vuotiaat (2023)]]*Taulukko4[Perushinnat, €]</f>
        <v>176370.37</v>
      </c>
      <c r="H292" s="461">
        <f>Taulukko3[[#This Row],[Työttömät ja palveluissa olevat (2023)]]*Taulukko4[[ ]]</f>
        <v>137666.54</v>
      </c>
      <c r="I292" s="461">
        <f>Taulukko3[[#This Row],[Vieraskieliset (2023)]]*Taulukko4[[  ]]</f>
        <v>8946.75</v>
      </c>
      <c r="J292" s="494">
        <f>SUM('TE25 Palveluiden rahoitus'!$G292:$I292)</f>
        <v>322983.66000000003</v>
      </c>
      <c r="K292" s="499"/>
      <c r="L292" s="505">
        <v>154719.25839773513</v>
      </c>
      <c r="M292" s="458">
        <f>'TE25 Palveluiden rahoitus'!$J292*-0.5</f>
        <v>-161491.83000000002</v>
      </c>
      <c r="N292" s="458">
        <f t="shared" si="10"/>
        <v>-6772.5716022648849</v>
      </c>
      <c r="O292" s="510">
        <f t="shared" si="11"/>
        <v>316211.08839773515</v>
      </c>
      <c r="P292" s="474"/>
      <c r="Q292" s="514">
        <v>-28859.27</v>
      </c>
    </row>
    <row r="293" spans="1:17" ht="12.75">
      <c r="A293" s="474">
        <v>927</v>
      </c>
      <c r="B293" s="474" t="s">
        <v>293</v>
      </c>
      <c r="C293" s="459">
        <v>16584</v>
      </c>
      <c r="D293" s="459">
        <v>1487</v>
      </c>
      <c r="E293" s="459">
        <v>2001</v>
      </c>
      <c r="G293" s="493">
        <f>Taulukko3[[#This Row],[Väestö, 18-64-vuotiaat (2023)]]*Taulukko4[Perushinnat, €]</f>
        <v>1592229.84</v>
      </c>
      <c r="H293" s="461">
        <f>Taulukko3[[#This Row],[Työttömät ja palveluissa olevat (2023)]]*Taulukko4[[ ]]</f>
        <v>1255890.46</v>
      </c>
      <c r="I293" s="461">
        <f>Taulukko3[[#This Row],[Vieraskieliset (2023)]]*Taulukko4[[  ]]</f>
        <v>118559.25</v>
      </c>
      <c r="J293" s="494">
        <f>SUM('TE25 Palveluiden rahoitus'!$G293:$I293)</f>
        <v>2966679.55</v>
      </c>
      <c r="K293" s="499"/>
      <c r="L293" s="505">
        <v>1390398.9682345106</v>
      </c>
      <c r="M293" s="458">
        <f>'TE25 Palveluiden rahoitus'!$J293*-0.5</f>
        <v>-1483339.7749999999</v>
      </c>
      <c r="N293" s="458">
        <f t="shared" si="10"/>
        <v>-92940.80676548928</v>
      </c>
      <c r="O293" s="510">
        <f t="shared" si="11"/>
        <v>2873738.7432345101</v>
      </c>
      <c r="P293" s="474"/>
      <c r="Q293" s="514">
        <v>-260534.64</v>
      </c>
    </row>
    <row r="294" spans="1:17" ht="12.75">
      <c r="A294" s="474">
        <v>931</v>
      </c>
      <c r="B294" s="474" t="s">
        <v>294</v>
      </c>
      <c r="C294" s="459">
        <v>2777</v>
      </c>
      <c r="D294" s="459">
        <v>360</v>
      </c>
      <c r="E294" s="459">
        <v>152</v>
      </c>
      <c r="G294" s="493">
        <f>Taulukko3[[#This Row],[Väestö, 18-64-vuotiaat (2023)]]*Taulukko4[Perushinnat, €]</f>
        <v>266619.77</v>
      </c>
      <c r="H294" s="461">
        <f>Taulukko3[[#This Row],[Työttömät ja palveluissa olevat (2023)]]*Taulukko4[[ ]]</f>
        <v>304048.8</v>
      </c>
      <c r="I294" s="461">
        <f>Taulukko3[[#This Row],[Vieraskieliset (2023)]]*Taulukko4[[  ]]</f>
        <v>9006</v>
      </c>
      <c r="J294" s="494">
        <f>SUM('TE25 Palveluiden rahoitus'!$G294:$I294)</f>
        <v>579674.57000000007</v>
      </c>
      <c r="K294" s="499"/>
      <c r="L294" s="505">
        <v>520298.56342994428</v>
      </c>
      <c r="M294" s="458">
        <f>'TE25 Palveluiden rahoitus'!$J294*-0.5</f>
        <v>-289837.28500000003</v>
      </c>
      <c r="N294" s="458">
        <f t="shared" si="10"/>
        <v>230461.27842994424</v>
      </c>
      <c r="O294" s="510">
        <f t="shared" si="11"/>
        <v>810135.84842994425</v>
      </c>
      <c r="P294" s="474"/>
      <c r="Q294" s="514">
        <v>-43626.670000000006</v>
      </c>
    </row>
    <row r="295" spans="1:17" ht="12.75">
      <c r="A295" s="474">
        <v>934</v>
      </c>
      <c r="B295" s="474" t="s">
        <v>295</v>
      </c>
      <c r="C295" s="459">
        <v>1350</v>
      </c>
      <c r="D295" s="459">
        <v>112</v>
      </c>
      <c r="E295" s="459">
        <v>70</v>
      </c>
      <c r="G295" s="493">
        <f>Taulukko3[[#This Row],[Väestö, 18-64-vuotiaat (2023)]]*Taulukko4[Perushinnat, €]</f>
        <v>129613.5</v>
      </c>
      <c r="H295" s="461">
        <f>Taulukko3[[#This Row],[Työttömät ja palveluissa olevat (2023)]]*Taulukko4[[ ]]</f>
        <v>94592.960000000006</v>
      </c>
      <c r="I295" s="461">
        <f>Taulukko3[[#This Row],[Vieraskieliset (2023)]]*Taulukko4[[  ]]</f>
        <v>4147.5</v>
      </c>
      <c r="J295" s="494">
        <f>SUM('TE25 Palveluiden rahoitus'!$G295:$I295)</f>
        <v>228353.96000000002</v>
      </c>
      <c r="K295" s="499"/>
      <c r="L295" s="505">
        <v>135801.01187150544</v>
      </c>
      <c r="M295" s="458">
        <f>'TE25 Palveluiden rahoitus'!$J295*-0.5</f>
        <v>-114176.98000000001</v>
      </c>
      <c r="N295" s="458">
        <f t="shared" si="10"/>
        <v>21624.031871505431</v>
      </c>
      <c r="O295" s="510">
        <f t="shared" si="11"/>
        <v>249977.99187150548</v>
      </c>
      <c r="P295" s="474"/>
      <c r="Q295" s="514">
        <v>-21208.5</v>
      </c>
    </row>
    <row r="296" spans="1:17" ht="12.75">
      <c r="A296" s="474">
        <v>935</v>
      </c>
      <c r="B296" s="474" t="s">
        <v>296</v>
      </c>
      <c r="C296" s="459">
        <v>1500</v>
      </c>
      <c r="D296" s="459">
        <v>223</v>
      </c>
      <c r="E296" s="459">
        <v>202</v>
      </c>
      <c r="G296" s="493">
        <f>Taulukko3[[#This Row],[Väestö, 18-64-vuotiaat (2023)]]*Taulukko4[Perushinnat, €]</f>
        <v>144015</v>
      </c>
      <c r="H296" s="461">
        <f>Taulukko3[[#This Row],[Työttömät ja palveluissa olevat (2023)]]*Taulukko4[[ ]]</f>
        <v>188341.34</v>
      </c>
      <c r="I296" s="461">
        <f>Taulukko3[[#This Row],[Vieraskieliset (2023)]]*Taulukko4[[  ]]</f>
        <v>11968.5</v>
      </c>
      <c r="J296" s="494">
        <f>SUM('TE25 Palveluiden rahoitus'!$G296:$I296)</f>
        <v>344324.83999999997</v>
      </c>
      <c r="K296" s="499"/>
      <c r="L296" s="505">
        <v>155807.66351229884</v>
      </c>
      <c r="M296" s="458">
        <f>'TE25 Palveluiden rahoitus'!$J296*-0.5</f>
        <v>-172162.41999999998</v>
      </c>
      <c r="N296" s="458">
        <f t="shared" si="10"/>
        <v>-16354.756487701146</v>
      </c>
      <c r="O296" s="510">
        <f t="shared" si="11"/>
        <v>327970.08351229882</v>
      </c>
      <c r="P296" s="474"/>
      <c r="Q296" s="514">
        <v>-23565</v>
      </c>
    </row>
    <row r="297" spans="1:17" ht="12.75">
      <c r="A297" s="474">
        <v>936</v>
      </c>
      <c r="B297" s="474" t="s">
        <v>297</v>
      </c>
      <c r="C297" s="459">
        <v>2955</v>
      </c>
      <c r="D297" s="459">
        <v>315</v>
      </c>
      <c r="E297" s="459">
        <v>214</v>
      </c>
      <c r="G297" s="493">
        <f>Taulukko3[[#This Row],[Väestö, 18-64-vuotiaat (2023)]]*Taulukko4[Perushinnat, €]</f>
        <v>283709.55</v>
      </c>
      <c r="H297" s="461">
        <f>Taulukko3[[#This Row],[Työttömät ja palveluissa olevat (2023)]]*Taulukko4[[ ]]</f>
        <v>266042.7</v>
      </c>
      <c r="I297" s="461">
        <f>Taulukko3[[#This Row],[Vieraskieliset (2023)]]*Taulukko4[[  ]]</f>
        <v>12679.5</v>
      </c>
      <c r="J297" s="494">
        <f>SUM('TE25 Palveluiden rahoitus'!$G297:$I297)</f>
        <v>562431.75</v>
      </c>
      <c r="K297" s="499"/>
      <c r="L297" s="505">
        <v>338807.46850994549</v>
      </c>
      <c r="M297" s="458">
        <f>'TE25 Palveluiden rahoitus'!$J297*-0.5</f>
        <v>-281215.875</v>
      </c>
      <c r="N297" s="458">
        <f t="shared" si="10"/>
        <v>57591.593509945495</v>
      </c>
      <c r="O297" s="510">
        <f t="shared" si="11"/>
        <v>620023.34350994555</v>
      </c>
      <c r="P297" s="474"/>
      <c r="Q297" s="514">
        <v>-46423.05</v>
      </c>
    </row>
    <row r="298" spans="1:17" ht="12.75">
      <c r="A298" s="474">
        <v>946</v>
      </c>
      <c r="B298" s="474" t="s">
        <v>298</v>
      </c>
      <c r="C298" s="459">
        <v>3195</v>
      </c>
      <c r="D298" s="459">
        <v>214</v>
      </c>
      <c r="E298" s="459">
        <v>431</v>
      </c>
      <c r="G298" s="493">
        <f>Taulukko3[[#This Row],[Väestö, 18-64-vuotiaat (2023)]]*Taulukko4[Perushinnat, €]</f>
        <v>306751.95</v>
      </c>
      <c r="H298" s="461">
        <f>Taulukko3[[#This Row],[Työttömät ja palveluissa olevat (2023)]]*Taulukko4[[ ]]</f>
        <v>180740.12</v>
      </c>
      <c r="I298" s="461">
        <f>Taulukko3[[#This Row],[Vieraskieliset (2023)]]*Taulukko4[[  ]]</f>
        <v>25536.75</v>
      </c>
      <c r="J298" s="494">
        <f>SUM('TE25 Palveluiden rahoitus'!$G298:$I298)</f>
        <v>513028.82</v>
      </c>
      <c r="K298" s="499"/>
      <c r="L298" s="505">
        <v>194205.41820248228</v>
      </c>
      <c r="M298" s="458">
        <f>'TE25 Palveluiden rahoitus'!$J298*-0.5</f>
        <v>-256514.41</v>
      </c>
      <c r="N298" s="458">
        <f t="shared" si="10"/>
        <v>-62308.991797517723</v>
      </c>
      <c r="O298" s="510">
        <f t="shared" si="11"/>
        <v>450719.8282024822</v>
      </c>
      <c r="P298" s="474"/>
      <c r="Q298" s="514">
        <v>-50193.450000000004</v>
      </c>
    </row>
    <row r="299" spans="1:17" ht="12.75">
      <c r="A299" s="474">
        <v>976</v>
      </c>
      <c r="B299" s="474" t="s">
        <v>299</v>
      </c>
      <c r="C299" s="459">
        <v>1763</v>
      </c>
      <c r="D299" s="459">
        <v>270</v>
      </c>
      <c r="E299" s="459">
        <v>140</v>
      </c>
      <c r="G299" s="493">
        <f>Taulukko3[[#This Row],[Väestö, 18-64-vuotiaat (2023)]]*Taulukko4[Perushinnat, €]</f>
        <v>169265.63</v>
      </c>
      <c r="H299" s="461">
        <f>Taulukko3[[#This Row],[Työttömät ja palveluissa olevat (2023)]]*Taulukko4[[ ]]</f>
        <v>228036.6</v>
      </c>
      <c r="I299" s="461">
        <f>Taulukko3[[#This Row],[Vieraskieliset (2023)]]*Taulukko4[[  ]]</f>
        <v>8295</v>
      </c>
      <c r="J299" s="494">
        <f>SUM('TE25 Palveluiden rahoitus'!$G299:$I299)</f>
        <v>405597.23</v>
      </c>
      <c r="K299" s="499"/>
      <c r="L299" s="505">
        <v>351789.79190429795</v>
      </c>
      <c r="M299" s="458">
        <f>'TE25 Palveluiden rahoitus'!$J299*-0.5</f>
        <v>-202798.61499999999</v>
      </c>
      <c r="N299" s="458">
        <f t="shared" si="10"/>
        <v>148991.17690429796</v>
      </c>
      <c r="O299" s="510">
        <f t="shared" si="11"/>
        <v>554588.40690429788</v>
      </c>
      <c r="P299" s="474"/>
      <c r="Q299" s="514">
        <v>-27696.730000000003</v>
      </c>
    </row>
    <row r="300" spans="1:17" ht="12.75">
      <c r="A300" s="474">
        <v>977</v>
      </c>
      <c r="B300" s="474" t="s">
        <v>300</v>
      </c>
      <c r="C300" s="459">
        <v>8287</v>
      </c>
      <c r="D300" s="459">
        <v>786</v>
      </c>
      <c r="E300" s="459">
        <v>329</v>
      </c>
      <c r="G300" s="493">
        <f>Taulukko3[[#This Row],[Väestö, 18-64-vuotiaat (2023)]]*Taulukko4[Perushinnat, €]</f>
        <v>795634.87</v>
      </c>
      <c r="H300" s="461">
        <f>Taulukko3[[#This Row],[Työttömät ja palveluissa olevat (2023)]]*Taulukko4[[ ]]</f>
        <v>663839.88</v>
      </c>
      <c r="I300" s="461">
        <f>Taulukko3[[#This Row],[Vieraskieliset (2023)]]*Taulukko4[[  ]]</f>
        <v>19493.25</v>
      </c>
      <c r="J300" s="494">
        <f>SUM('TE25 Palveluiden rahoitus'!$G300:$I300)</f>
        <v>1478968</v>
      </c>
      <c r="K300" s="499"/>
      <c r="L300" s="505">
        <v>493130.7561341027</v>
      </c>
      <c r="M300" s="458">
        <f>'TE25 Palveluiden rahoitus'!$J300*-0.5</f>
        <v>-739484</v>
      </c>
      <c r="N300" s="458">
        <f t="shared" si="10"/>
        <v>-246353.2438658973</v>
      </c>
      <c r="O300" s="510">
        <f t="shared" si="11"/>
        <v>1232614.7561341026</v>
      </c>
      <c r="P300" s="474"/>
      <c r="Q300" s="514">
        <v>-130188.77</v>
      </c>
    </row>
    <row r="301" spans="1:17" ht="12.75">
      <c r="A301" s="474">
        <v>980</v>
      </c>
      <c r="B301" s="474" t="s">
        <v>301</v>
      </c>
      <c r="C301" s="459">
        <v>18825</v>
      </c>
      <c r="D301" s="459">
        <v>1544</v>
      </c>
      <c r="E301" s="459">
        <v>1037</v>
      </c>
      <c r="G301" s="493">
        <f>Taulukko3[[#This Row],[Väestö, 18-64-vuotiaat (2023)]]*Taulukko4[Perushinnat, €]</f>
        <v>1807388.25</v>
      </c>
      <c r="H301" s="461">
        <f>Taulukko3[[#This Row],[Työttömät ja palveluissa olevat (2023)]]*Taulukko4[[ ]]</f>
        <v>1304031.52</v>
      </c>
      <c r="I301" s="461">
        <f>Taulukko3[[#This Row],[Vieraskieliset (2023)]]*Taulukko4[[  ]]</f>
        <v>61442.25</v>
      </c>
      <c r="J301" s="494">
        <f>SUM('TE25 Palveluiden rahoitus'!$G301:$I301)</f>
        <v>3172862.02</v>
      </c>
      <c r="K301" s="499"/>
      <c r="L301" s="505">
        <v>1325490.0802248712</v>
      </c>
      <c r="M301" s="458">
        <f>'TE25 Palveluiden rahoitus'!$J301*-0.5</f>
        <v>-1586431.01</v>
      </c>
      <c r="N301" s="458">
        <f t="shared" si="10"/>
        <v>-260940.92977512884</v>
      </c>
      <c r="O301" s="510">
        <f t="shared" si="11"/>
        <v>2911921.0902248714</v>
      </c>
      <c r="P301" s="474"/>
      <c r="Q301" s="514">
        <v>-295740.75</v>
      </c>
    </row>
    <row r="302" spans="1:17" ht="12.75">
      <c r="A302" s="474">
        <v>981</v>
      </c>
      <c r="B302" s="474" t="s">
        <v>302</v>
      </c>
      <c r="C302" s="459">
        <v>1214</v>
      </c>
      <c r="D302" s="459">
        <v>117</v>
      </c>
      <c r="E302" s="459">
        <v>50</v>
      </c>
      <c r="G302" s="493">
        <f>Taulukko3[[#This Row],[Väestö, 18-64-vuotiaat (2023)]]*Taulukko4[Perushinnat, €]</f>
        <v>116556.14</v>
      </c>
      <c r="H302" s="461">
        <f>Taulukko3[[#This Row],[Työttömät ja palveluissa olevat (2023)]]*Taulukko4[[ ]]</f>
        <v>98815.86</v>
      </c>
      <c r="I302" s="461">
        <f>Taulukko3[[#This Row],[Vieraskieliset (2023)]]*Taulukko4[[  ]]</f>
        <v>2962.5</v>
      </c>
      <c r="J302" s="494">
        <f>SUM('TE25 Palveluiden rahoitus'!$G302:$I302)</f>
        <v>218334.5</v>
      </c>
      <c r="K302" s="499"/>
      <c r="L302" s="505">
        <v>104082.58338157527</v>
      </c>
      <c r="M302" s="458">
        <f>'TE25 Palveluiden rahoitus'!$J302*-0.5</f>
        <v>-109167.25</v>
      </c>
      <c r="N302" s="458">
        <f t="shared" si="10"/>
        <v>-5084.6666184247297</v>
      </c>
      <c r="O302" s="510">
        <f t="shared" si="11"/>
        <v>213249.8333815753</v>
      </c>
      <c r="P302" s="474"/>
      <c r="Q302" s="514">
        <v>-19071.940000000002</v>
      </c>
    </row>
    <row r="303" spans="1:17" ht="12.75">
      <c r="A303" s="474">
        <v>989</v>
      </c>
      <c r="B303" s="474" t="s">
        <v>303</v>
      </c>
      <c r="C303" s="459">
        <v>2564</v>
      </c>
      <c r="D303" s="459">
        <v>309</v>
      </c>
      <c r="E303" s="459">
        <v>147</v>
      </c>
      <c r="G303" s="493">
        <f>Taulukko3[[#This Row],[Väestö, 18-64-vuotiaat (2023)]]*Taulukko4[Perushinnat, €]</f>
        <v>246169.64</v>
      </c>
      <c r="H303" s="461">
        <f>Taulukko3[[#This Row],[Työttömät ja palveluissa olevat (2023)]]*Taulukko4[[ ]]</f>
        <v>260975.22</v>
      </c>
      <c r="I303" s="461">
        <f>Taulukko3[[#This Row],[Vieraskieliset (2023)]]*Taulukko4[[  ]]</f>
        <v>8709.75</v>
      </c>
      <c r="J303" s="494">
        <f>SUM('TE25 Palveluiden rahoitus'!$G303:$I303)</f>
        <v>515854.61</v>
      </c>
      <c r="K303" s="499"/>
      <c r="L303" s="505">
        <v>260587.04690092808</v>
      </c>
      <c r="M303" s="458">
        <f>'TE25 Palveluiden rahoitus'!$J303*-0.5</f>
        <v>-257927.30499999999</v>
      </c>
      <c r="N303" s="458">
        <f t="shared" si="10"/>
        <v>2659.7419009280857</v>
      </c>
      <c r="O303" s="510">
        <f t="shared" si="11"/>
        <v>518514.35190092813</v>
      </c>
      <c r="P303" s="474"/>
      <c r="Q303" s="514">
        <v>-40280.44</v>
      </c>
    </row>
    <row r="304" spans="1:17" ht="12.75">
      <c r="A304" s="474">
        <v>992</v>
      </c>
      <c r="B304" s="474" t="s">
        <v>304</v>
      </c>
      <c r="C304" s="459">
        <v>9414</v>
      </c>
      <c r="D304" s="459">
        <v>1580</v>
      </c>
      <c r="E304" s="459">
        <v>495</v>
      </c>
      <c r="G304" s="477">
        <f>Taulukko3[[#This Row],[Väestö, 18-64-vuotiaat (2023)]]*Taulukko4[Perushinnat, €]</f>
        <v>903838.14</v>
      </c>
      <c r="H304" s="457">
        <f>Taulukko3[[#This Row],[Työttömät ja palveluissa olevat (2023)]]*Taulukko4[[ ]]</f>
        <v>1334436.4000000001</v>
      </c>
      <c r="I304" s="457">
        <f>Taulukko3[[#This Row],[Vieraskieliset (2023)]]*Taulukko4[[  ]]</f>
        <v>29328.75</v>
      </c>
      <c r="J304" s="478">
        <f>SUM('TE25 Palveluiden rahoitus'!$G304:$I304)</f>
        <v>2267603.29</v>
      </c>
      <c r="K304" s="499"/>
      <c r="L304" s="506">
        <v>1615257.218180381</v>
      </c>
      <c r="M304" s="507">
        <f>'TE25 Palveluiden rahoitus'!$J304*-0.5</f>
        <v>-1133801.645</v>
      </c>
      <c r="N304" s="458">
        <f t="shared" si="10"/>
        <v>481455.57318038098</v>
      </c>
      <c r="O304" s="511">
        <f t="shared" si="11"/>
        <v>2749058.8631803808</v>
      </c>
      <c r="P304" s="474"/>
      <c r="Q304" s="515">
        <v>-147893.94</v>
      </c>
    </row>
  </sheetData>
  <pageMargins left="0.7" right="0.7" top="0.75" bottom="0.75" header="0.3" footer="0.3"/>
  <pageSetup paperSize="9" orientation="portrait" r:id="rId1"/>
  <ignoredErrors>
    <ignoredError sqref="G11:I11" calculatedColumn="1"/>
  </ignoredErrors>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10</vt:i4>
      </vt:variant>
    </vt:vector>
  </HeadingPairs>
  <TitlesOfParts>
    <vt:vector size="21" baseType="lpstr">
      <vt:lpstr>INFO</vt:lpstr>
      <vt:lpstr>Yhteenveto</vt:lpstr>
      <vt:lpstr>Lask. kustannukset IKÄRAKENNE</vt:lpstr>
      <vt:lpstr>Lask. kustannukset MUUT</vt:lpstr>
      <vt:lpstr>Lisäosat</vt:lpstr>
      <vt:lpstr>Muut lis_väh</vt:lpstr>
      <vt:lpstr>Verotuloihin perust tasaus</vt:lpstr>
      <vt:lpstr>Verokorvaukset</vt:lpstr>
      <vt:lpstr>TE25 Palveluiden rahoitus</vt:lpstr>
      <vt:lpstr>TE25 Pavleluiden kustannusarvio</vt:lpstr>
      <vt:lpstr>TE25 Etuuksien rahoitusvastuu</vt:lpstr>
      <vt:lpstr>'Lask. kustannukset IKÄRAKENNE'!Tulostusalue</vt:lpstr>
      <vt:lpstr>'Lask. kustannukset MUUT'!Tulostusalue</vt:lpstr>
      <vt:lpstr>Lisäosat!Tulostusalue</vt:lpstr>
      <vt:lpstr>'Muut lis_väh'!Tulostusalue</vt:lpstr>
      <vt:lpstr>Yhteenveto!Tulostusalue</vt:lpstr>
      <vt:lpstr>'Lask. kustannukset IKÄRAKENNE'!Tulostusotsikot</vt:lpstr>
      <vt:lpstr>'Lask. kustannukset MUUT'!Tulostusotsikot</vt:lpstr>
      <vt:lpstr>Lisäosat!Tulostusotsikot</vt:lpstr>
      <vt:lpstr>'Muut lis_väh'!Tulostusotsikot</vt:lpstr>
      <vt:lpstr>Yhteenveto!Tulostusotsikot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Kunnan peruspalvelujen valtionosuus</dc:title>
  <dc:creator>VM</dc:creator>
  <cp:lastModifiedBy>Heimberg Unna (VM)</cp:lastModifiedBy>
  <dcterms:created xsi:type="dcterms:W3CDTF">2020-05-15T09:22:39Z</dcterms:created>
  <dcterms:modified xsi:type="dcterms:W3CDTF">2024-04-29T09:55:32Z</dcterms:modified>
</cp:coreProperties>
</file>